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ruby_adam_nrscotland_gov_uk/Documents/Publications/covid deaths data 20 21 22 final/"/>
    </mc:Choice>
  </mc:AlternateContent>
  <xr:revisionPtr revIDLastSave="1" documentId="11_EB1D33D21DCEA6AFCCE05296265A4708AF045529" xr6:coauthVersionLast="47" xr6:coauthVersionMax="47" xr10:uidLastSave="{618C3C65-4D17-4135-AD5C-5DC0B1245DAA}"/>
  <bookViews>
    <workbookView xWindow="-110" yWindow="-110" windowWidth="19420" windowHeight="10420" tabRatio="745" xr2:uid="{00000000-000D-0000-FFFF-FFFF00000000}"/>
  </bookViews>
  <sheets>
    <sheet name="Cover sheet" sheetId="9" r:id="rId1"/>
    <sheet name="Contents" sheetId="10" r:id="rId2"/>
    <sheet name="Notes" sheetId="11" r:id="rId3"/>
    <sheet name="1" sheetId="25" r:id="rId4"/>
    <sheet name="2" sheetId="21" r:id="rId5"/>
    <sheet name="3" sheetId="20" r:id="rId6"/>
    <sheet name="4" sheetId="26" r:id="rId7"/>
    <sheet name="5" sheetId="30" r:id="rId8"/>
    <sheet name="6" sheetId="27" r:id="rId9"/>
    <sheet name="7" sheetId="22" r:id="rId10"/>
    <sheet name="8" sheetId="3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9" i="30" l="1"/>
  <c r="R59" i="30"/>
  <c r="R6" i="30"/>
  <c r="R7" i="30"/>
  <c r="R8" i="30"/>
  <c r="R9" i="30"/>
  <c r="R10" i="30"/>
  <c r="R11" i="30"/>
  <c r="R12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29" i="30"/>
  <c r="R30" i="30"/>
  <c r="R31" i="30"/>
  <c r="R32" i="30"/>
  <c r="R33" i="30"/>
  <c r="R34" i="30"/>
  <c r="R35" i="30"/>
  <c r="R36" i="30"/>
  <c r="R37" i="30"/>
  <c r="R38" i="30"/>
  <c r="R39" i="30"/>
  <c r="R40" i="30"/>
  <c r="R41" i="30"/>
  <c r="R42" i="30"/>
  <c r="R43" i="30"/>
  <c r="R44" i="30"/>
  <c r="R45" i="30"/>
  <c r="R46" i="30"/>
  <c r="R47" i="30"/>
  <c r="R48" i="30"/>
  <c r="R49" i="30"/>
  <c r="R50" i="30"/>
  <c r="R51" i="30"/>
  <c r="R52" i="30"/>
  <c r="R53" i="30"/>
  <c r="R54" i="30"/>
  <c r="R55" i="30"/>
  <c r="R56" i="30"/>
  <c r="R57" i="30"/>
  <c r="R58" i="30"/>
  <c r="Q6" i="30"/>
  <c r="Q59" i="30" s="1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P6" i="30"/>
  <c r="P59" i="30" s="1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N6" i="30"/>
  <c r="N59" i="30" s="1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M6" i="30"/>
  <c r="M59" i="30" s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L6" i="30"/>
  <c r="L59" i="30" s="1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K6" i="30"/>
  <c r="K7" i="30"/>
  <c r="K59" i="30" s="1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J6" i="30"/>
  <c r="J59" i="30" s="1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I6" i="30"/>
  <c r="I59" i="30" s="1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H6" i="30"/>
  <c r="H59" i="30" s="1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G6" i="30"/>
  <c r="G59" i="30" s="1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F6" i="30"/>
  <c r="F59" i="30" s="1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E6" i="30"/>
  <c r="E59" i="30" s="1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D55" i="30" s="1"/>
  <c r="E56" i="30"/>
  <c r="E57" i="30"/>
  <c r="E58" i="30"/>
  <c r="D30" i="30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D58" i="30" l="1"/>
  <c r="D42" i="30"/>
  <c r="D26" i="30"/>
  <c r="D10" i="30"/>
  <c r="D27" i="30"/>
  <c r="D50" i="30"/>
  <c r="D34" i="30"/>
  <c r="D18" i="30"/>
  <c r="D54" i="30"/>
  <c r="D46" i="30"/>
  <c r="D38" i="30"/>
  <c r="D22" i="30"/>
  <c r="D14" i="30"/>
  <c r="D6" i="30"/>
  <c r="D43" i="30"/>
  <c r="D11" i="30"/>
  <c r="D48" i="30"/>
  <c r="D39" i="30"/>
  <c r="D31" i="30"/>
  <c r="D12" i="30"/>
  <c r="D47" i="30"/>
  <c r="D35" i="30"/>
  <c r="D23" i="30"/>
  <c r="D15" i="30"/>
  <c r="D32" i="30"/>
  <c r="D20" i="30"/>
  <c r="D51" i="30"/>
  <c r="D19" i="30"/>
  <c r="D7" i="30"/>
  <c r="D56" i="30"/>
  <c r="D40" i="30"/>
  <c r="D28" i="30"/>
  <c r="D44" i="30"/>
  <c r="D36" i="30"/>
  <c r="D24" i="30"/>
  <c r="D16" i="30"/>
  <c r="D8" i="30"/>
  <c r="D52" i="30"/>
  <c r="D53" i="30"/>
  <c r="D49" i="30"/>
  <c r="D45" i="30"/>
  <c r="D41" i="30"/>
  <c r="D37" i="30"/>
  <c r="D33" i="30"/>
  <c r="D29" i="30"/>
  <c r="D25" i="30"/>
  <c r="D21" i="30"/>
  <c r="D17" i="30"/>
  <c r="D13" i="30"/>
  <c r="D9" i="30"/>
  <c r="D57" i="30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D34" i="21" s="1"/>
  <c r="I35" i="21"/>
  <c r="I36" i="21"/>
  <c r="I37" i="21"/>
  <c r="I38" i="21"/>
  <c r="I39" i="21"/>
  <c r="I40" i="21"/>
  <c r="I41" i="21"/>
  <c r="I42" i="21"/>
  <c r="D42" i="21" s="1"/>
  <c r="I43" i="21"/>
  <c r="I44" i="21"/>
  <c r="I45" i="21"/>
  <c r="I46" i="21"/>
  <c r="I47" i="21"/>
  <c r="I48" i="21"/>
  <c r="I49" i="21"/>
  <c r="I50" i="21"/>
  <c r="D50" i="21" s="1"/>
  <c r="I51" i="21"/>
  <c r="I52" i="21"/>
  <c r="I53" i="21"/>
  <c r="I54" i="21"/>
  <c r="I55" i="21"/>
  <c r="I56" i="21"/>
  <c r="I57" i="21"/>
  <c r="I58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D44" i="21" s="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D24" i="21" s="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D55" i="21" s="1"/>
  <c r="G56" i="21"/>
  <c r="D56" i="21" s="1"/>
  <c r="G57" i="21"/>
  <c r="G58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E6" i="21"/>
  <c r="D6" i="21" s="1"/>
  <c r="E7" i="21"/>
  <c r="E8" i="21"/>
  <c r="E9" i="21"/>
  <c r="E10" i="21"/>
  <c r="D10" i="21" s="1"/>
  <c r="E11" i="21"/>
  <c r="E12" i="21"/>
  <c r="E13" i="21"/>
  <c r="E14" i="21"/>
  <c r="D14" i="21" s="1"/>
  <c r="E15" i="21"/>
  <c r="E16" i="21"/>
  <c r="E17" i="21"/>
  <c r="E18" i="21"/>
  <c r="E19" i="21"/>
  <c r="E20" i="21"/>
  <c r="E21" i="21"/>
  <c r="E22" i="21"/>
  <c r="D22" i="21" s="1"/>
  <c r="E23" i="21"/>
  <c r="E24" i="21"/>
  <c r="E25" i="21"/>
  <c r="E26" i="21"/>
  <c r="D26" i="21" s="1"/>
  <c r="E27" i="21"/>
  <c r="E28" i="21"/>
  <c r="E29" i="21"/>
  <c r="E30" i="21"/>
  <c r="D30" i="21" s="1"/>
  <c r="E31" i="21"/>
  <c r="E32" i="21"/>
  <c r="E33" i="21"/>
  <c r="E34" i="21"/>
  <c r="E35" i="21"/>
  <c r="E36" i="21"/>
  <c r="E37" i="21"/>
  <c r="E38" i="21"/>
  <c r="D38" i="21" s="1"/>
  <c r="E39" i="21"/>
  <c r="E40" i="21"/>
  <c r="E41" i="21"/>
  <c r="E42" i="21"/>
  <c r="E43" i="21"/>
  <c r="E44" i="21"/>
  <c r="E45" i="21"/>
  <c r="E46" i="21"/>
  <c r="D46" i="21" s="1"/>
  <c r="E47" i="21"/>
  <c r="E48" i="21"/>
  <c r="E49" i="21"/>
  <c r="E50" i="21"/>
  <c r="E51" i="21"/>
  <c r="E52" i="21"/>
  <c r="E53" i="21"/>
  <c r="E54" i="21"/>
  <c r="D54" i="21" s="1"/>
  <c r="E55" i="21"/>
  <c r="E56" i="21"/>
  <c r="E57" i="21"/>
  <c r="E58" i="21"/>
  <c r="D58" i="21" s="1"/>
  <c r="D18" i="21"/>
  <c r="D43" i="21"/>
  <c r="D32" i="21" l="1"/>
  <c r="D59" i="30"/>
  <c r="D40" i="21"/>
  <c r="D16" i="21"/>
  <c r="D8" i="21"/>
  <c r="D51" i="21"/>
  <c r="D47" i="21"/>
  <c r="D39" i="21"/>
  <c r="D35" i="21"/>
  <c r="D31" i="21"/>
  <c r="D27" i="21"/>
  <c r="D23" i="21"/>
  <c r="D19" i="21"/>
  <c r="D15" i="21"/>
  <c r="D11" i="21"/>
  <c r="D7" i="21"/>
  <c r="D52" i="21"/>
  <c r="D48" i="21"/>
  <c r="D36" i="21"/>
  <c r="D28" i="21"/>
  <c r="D20" i="21"/>
  <c r="D12" i="21"/>
  <c r="D57" i="21"/>
  <c r="D53" i="21"/>
  <c r="D49" i="21"/>
  <c r="D45" i="21"/>
  <c r="D41" i="21"/>
  <c r="D37" i="21"/>
  <c r="D33" i="21"/>
  <c r="D29" i="21"/>
  <c r="D25" i="21"/>
  <c r="D21" i="21"/>
  <c r="D17" i="21"/>
  <c r="D13" i="21"/>
  <c r="D9" i="21"/>
  <c r="N288" i="31"/>
  <c r="P288" i="31"/>
  <c r="R288" i="31"/>
  <c r="S288" i="31"/>
  <c r="T288" i="31"/>
  <c r="U288" i="31"/>
  <c r="G288" i="31"/>
  <c r="I288" i="31"/>
  <c r="K288" i="31"/>
  <c r="L288" i="31"/>
  <c r="M288" i="31"/>
  <c r="E288" i="31"/>
  <c r="D288" i="31"/>
  <c r="R231" i="31"/>
  <c r="T231" i="31"/>
  <c r="U231" i="31"/>
  <c r="E231" i="31"/>
  <c r="G231" i="31"/>
  <c r="H231" i="31"/>
  <c r="J231" i="31"/>
  <c r="K231" i="31"/>
  <c r="M231" i="31"/>
  <c r="N231" i="31"/>
  <c r="P231" i="31"/>
  <c r="Q231" i="31"/>
  <c r="D231" i="31"/>
  <c r="H174" i="31"/>
  <c r="J174" i="31"/>
  <c r="K174" i="31"/>
  <c r="M174" i="31"/>
  <c r="N174" i="31"/>
  <c r="P174" i="31"/>
  <c r="Q174" i="31"/>
  <c r="S174" i="31"/>
  <c r="T174" i="31"/>
  <c r="V174" i="31"/>
  <c r="G174" i="31"/>
  <c r="E174" i="31"/>
  <c r="D174" i="31"/>
  <c r="F117" i="31"/>
  <c r="I117" i="31"/>
  <c r="J117" i="31"/>
  <c r="K117" i="31"/>
  <c r="L117" i="31"/>
  <c r="O117" i="31"/>
  <c r="P117" i="31"/>
  <c r="Q117" i="31"/>
  <c r="R117" i="31"/>
  <c r="U117" i="31"/>
  <c r="V117" i="31"/>
  <c r="E117" i="31"/>
  <c r="D117" i="31"/>
  <c r="J60" i="31"/>
  <c r="M60" i="31"/>
  <c r="N60" i="31"/>
  <c r="O60" i="31"/>
  <c r="Q60" i="31"/>
  <c r="R60" i="31"/>
  <c r="S60" i="31"/>
  <c r="T60" i="31"/>
  <c r="V60" i="31"/>
  <c r="F60" i="31"/>
  <c r="I60" i="31"/>
  <c r="E60" i="31"/>
  <c r="D60" i="31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6" i="20"/>
  <c r="E59" i="20" l="1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AE59" i="20"/>
  <c r="AF59" i="20"/>
  <c r="AG59" i="20"/>
  <c r="AH59" i="20"/>
  <c r="AI59" i="20"/>
  <c r="AJ59" i="20"/>
  <c r="D59" i="20"/>
  <c r="V235" i="31"/>
  <c r="V236" i="31"/>
  <c r="V237" i="31"/>
  <c r="V238" i="31"/>
  <c r="V239" i="31"/>
  <c r="V240" i="31"/>
  <c r="V241" i="31"/>
  <c r="V242" i="31"/>
  <c r="V243" i="31"/>
  <c r="V244" i="31"/>
  <c r="V245" i="31"/>
  <c r="V246" i="31"/>
  <c r="V247" i="31"/>
  <c r="V248" i="31"/>
  <c r="V249" i="31"/>
  <c r="V250" i="31"/>
  <c r="V251" i="31"/>
  <c r="V252" i="31"/>
  <c r="V253" i="31"/>
  <c r="V254" i="31"/>
  <c r="V255" i="31"/>
  <c r="V256" i="31"/>
  <c r="V257" i="31"/>
  <c r="V258" i="31"/>
  <c r="V259" i="31"/>
  <c r="V260" i="31"/>
  <c r="V261" i="31"/>
  <c r="V262" i="31"/>
  <c r="V263" i="31"/>
  <c r="V264" i="31"/>
  <c r="V265" i="31"/>
  <c r="V266" i="31"/>
  <c r="V267" i="31"/>
  <c r="V268" i="31"/>
  <c r="V269" i="31"/>
  <c r="V270" i="31"/>
  <c r="V271" i="31"/>
  <c r="V272" i="31"/>
  <c r="V273" i="31"/>
  <c r="V274" i="31"/>
  <c r="V275" i="31"/>
  <c r="V276" i="31"/>
  <c r="V277" i="31"/>
  <c r="V278" i="31"/>
  <c r="V279" i="31"/>
  <c r="V280" i="31"/>
  <c r="V281" i="31"/>
  <c r="V282" i="31"/>
  <c r="V283" i="31"/>
  <c r="V284" i="31"/>
  <c r="V285" i="31"/>
  <c r="V286" i="31"/>
  <c r="V287" i="31"/>
  <c r="R235" i="31"/>
  <c r="R236" i="31"/>
  <c r="R237" i="31"/>
  <c r="R238" i="31"/>
  <c r="R239" i="31"/>
  <c r="R240" i="31"/>
  <c r="R241" i="31"/>
  <c r="R242" i="31"/>
  <c r="R243" i="31"/>
  <c r="R244" i="31"/>
  <c r="R245" i="31"/>
  <c r="R246" i="31"/>
  <c r="R247" i="31"/>
  <c r="R248" i="31"/>
  <c r="R249" i="31"/>
  <c r="R250" i="31"/>
  <c r="R251" i="31"/>
  <c r="R252" i="31"/>
  <c r="R253" i="31"/>
  <c r="R254" i="31"/>
  <c r="R255" i="31"/>
  <c r="R256" i="31"/>
  <c r="R257" i="31"/>
  <c r="R258" i="31"/>
  <c r="R259" i="31"/>
  <c r="R260" i="31"/>
  <c r="R261" i="31"/>
  <c r="R262" i="31"/>
  <c r="R263" i="31"/>
  <c r="R264" i="31"/>
  <c r="R265" i="31"/>
  <c r="R266" i="31"/>
  <c r="R267" i="31"/>
  <c r="R268" i="31"/>
  <c r="R269" i="31"/>
  <c r="R270" i="31"/>
  <c r="R271" i="31"/>
  <c r="R272" i="31"/>
  <c r="R273" i="31"/>
  <c r="R274" i="31"/>
  <c r="R275" i="31"/>
  <c r="R276" i="31"/>
  <c r="R277" i="31"/>
  <c r="R278" i="31"/>
  <c r="R279" i="31"/>
  <c r="R280" i="31"/>
  <c r="R281" i="31"/>
  <c r="R282" i="31"/>
  <c r="R283" i="31"/>
  <c r="R284" i="31"/>
  <c r="R285" i="31"/>
  <c r="R286" i="31"/>
  <c r="R287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87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V178" i="31"/>
  <c r="V179" i="31"/>
  <c r="V180" i="31"/>
  <c r="V181" i="31"/>
  <c r="V182" i="31"/>
  <c r="V183" i="31"/>
  <c r="V184" i="31"/>
  <c r="V185" i="31"/>
  <c r="V186" i="31"/>
  <c r="V187" i="31"/>
  <c r="V188" i="31"/>
  <c r="V189" i="31"/>
  <c r="V190" i="31"/>
  <c r="V191" i="31"/>
  <c r="V192" i="31"/>
  <c r="V193" i="31"/>
  <c r="V194" i="31"/>
  <c r="V195" i="31"/>
  <c r="V196" i="31"/>
  <c r="V197" i="31"/>
  <c r="V198" i="31"/>
  <c r="V199" i="31"/>
  <c r="V200" i="31"/>
  <c r="V201" i="31"/>
  <c r="V202" i="31"/>
  <c r="V203" i="31"/>
  <c r="V204" i="31"/>
  <c r="V205" i="31"/>
  <c r="V206" i="31"/>
  <c r="V207" i="31"/>
  <c r="V208" i="31"/>
  <c r="V209" i="31"/>
  <c r="V210" i="31"/>
  <c r="V211" i="31"/>
  <c r="V212" i="31"/>
  <c r="V213" i="31"/>
  <c r="V214" i="31"/>
  <c r="V215" i="31"/>
  <c r="V216" i="31"/>
  <c r="V217" i="31"/>
  <c r="V218" i="31"/>
  <c r="V219" i="31"/>
  <c r="V220" i="31"/>
  <c r="V221" i="31"/>
  <c r="V222" i="31"/>
  <c r="V223" i="31"/>
  <c r="V224" i="31"/>
  <c r="V225" i="31"/>
  <c r="V226" i="31"/>
  <c r="V227" i="31"/>
  <c r="V228" i="31"/>
  <c r="V229" i="31"/>
  <c r="V230" i="31"/>
  <c r="R178" i="31"/>
  <c r="R179" i="31"/>
  <c r="R180" i="31"/>
  <c r="R181" i="31"/>
  <c r="R182" i="31"/>
  <c r="R183" i="31"/>
  <c r="R184" i="31"/>
  <c r="R185" i="31"/>
  <c r="R186" i="31"/>
  <c r="R187" i="31"/>
  <c r="R188" i="31"/>
  <c r="R189" i="31"/>
  <c r="R190" i="31"/>
  <c r="R191" i="31"/>
  <c r="R192" i="31"/>
  <c r="R193" i="31"/>
  <c r="R194" i="31"/>
  <c r="R195" i="31"/>
  <c r="R196" i="31"/>
  <c r="R197" i="31"/>
  <c r="R198" i="31"/>
  <c r="R199" i="31"/>
  <c r="R200" i="31"/>
  <c r="R201" i="31"/>
  <c r="R202" i="31"/>
  <c r="R203" i="31"/>
  <c r="R204" i="31"/>
  <c r="R205" i="31"/>
  <c r="R206" i="31"/>
  <c r="R207" i="31"/>
  <c r="R208" i="31"/>
  <c r="R209" i="31"/>
  <c r="R210" i="31"/>
  <c r="R211" i="31"/>
  <c r="R212" i="31"/>
  <c r="R213" i="31"/>
  <c r="R214" i="31"/>
  <c r="R215" i="31"/>
  <c r="R216" i="31"/>
  <c r="R217" i="31"/>
  <c r="R218" i="31"/>
  <c r="R219" i="31"/>
  <c r="R220" i="31"/>
  <c r="R221" i="31"/>
  <c r="R222" i="31"/>
  <c r="R223" i="31"/>
  <c r="R224" i="31"/>
  <c r="R225" i="31"/>
  <c r="R226" i="31"/>
  <c r="R227" i="31"/>
  <c r="R228" i="31"/>
  <c r="R229" i="31"/>
  <c r="R230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5" i="31"/>
  <c r="L226" i="31"/>
  <c r="L227" i="31"/>
  <c r="L228" i="31"/>
  <c r="L229" i="31"/>
  <c r="L230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V121" i="31"/>
  <c r="V122" i="31"/>
  <c r="V123" i="31"/>
  <c r="V124" i="31"/>
  <c r="V125" i="31"/>
  <c r="V126" i="31"/>
  <c r="V127" i="31"/>
  <c r="V128" i="31"/>
  <c r="V129" i="31"/>
  <c r="V130" i="31"/>
  <c r="V131" i="31"/>
  <c r="V132" i="31"/>
  <c r="V133" i="31"/>
  <c r="V134" i="31"/>
  <c r="V135" i="31"/>
  <c r="V136" i="31"/>
  <c r="V137" i="31"/>
  <c r="V138" i="31"/>
  <c r="V139" i="31"/>
  <c r="V140" i="31"/>
  <c r="V141" i="31"/>
  <c r="V142" i="31"/>
  <c r="V143" i="31"/>
  <c r="V144" i="31"/>
  <c r="V145" i="31"/>
  <c r="V146" i="31"/>
  <c r="V147" i="31"/>
  <c r="V148" i="31"/>
  <c r="V149" i="31"/>
  <c r="V150" i="31"/>
  <c r="V151" i="31"/>
  <c r="V152" i="31"/>
  <c r="V153" i="31"/>
  <c r="V154" i="31"/>
  <c r="V155" i="31"/>
  <c r="V156" i="31"/>
  <c r="V157" i="31"/>
  <c r="V158" i="31"/>
  <c r="V159" i="31"/>
  <c r="V160" i="31"/>
  <c r="V161" i="31"/>
  <c r="V162" i="31"/>
  <c r="V163" i="31"/>
  <c r="V164" i="31"/>
  <c r="V165" i="31"/>
  <c r="V166" i="31"/>
  <c r="V167" i="31"/>
  <c r="V168" i="31"/>
  <c r="V169" i="31"/>
  <c r="V170" i="31"/>
  <c r="V171" i="31"/>
  <c r="V172" i="31"/>
  <c r="V173" i="31"/>
  <c r="R121" i="31"/>
  <c r="R122" i="31"/>
  <c r="R123" i="31"/>
  <c r="R124" i="31"/>
  <c r="R125" i="31"/>
  <c r="R126" i="31"/>
  <c r="R127" i="31"/>
  <c r="R128" i="31"/>
  <c r="R129" i="31"/>
  <c r="R130" i="31"/>
  <c r="R131" i="31"/>
  <c r="R132" i="31"/>
  <c r="R133" i="31"/>
  <c r="R134" i="31"/>
  <c r="R135" i="31"/>
  <c r="R136" i="31"/>
  <c r="R137" i="31"/>
  <c r="R138" i="31"/>
  <c r="R139" i="31"/>
  <c r="R140" i="31"/>
  <c r="R141" i="31"/>
  <c r="R142" i="31"/>
  <c r="R143" i="31"/>
  <c r="R144" i="31"/>
  <c r="R145" i="31"/>
  <c r="R146" i="31"/>
  <c r="R147" i="31"/>
  <c r="R148" i="31"/>
  <c r="R149" i="31"/>
  <c r="R150" i="31"/>
  <c r="R151" i="31"/>
  <c r="R152" i="31"/>
  <c r="R153" i="31"/>
  <c r="R154" i="31"/>
  <c r="R155" i="31"/>
  <c r="R156" i="31"/>
  <c r="R157" i="31"/>
  <c r="R158" i="31"/>
  <c r="R159" i="31"/>
  <c r="R160" i="31"/>
  <c r="R161" i="31"/>
  <c r="R162" i="31"/>
  <c r="R163" i="31"/>
  <c r="R164" i="31"/>
  <c r="R165" i="31"/>
  <c r="R166" i="31"/>
  <c r="R167" i="31"/>
  <c r="R168" i="31"/>
  <c r="R169" i="31"/>
  <c r="R170" i="31"/>
  <c r="R171" i="31"/>
  <c r="R172" i="31"/>
  <c r="R173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V64" i="31"/>
  <c r="V65" i="31"/>
  <c r="V66" i="31"/>
  <c r="V67" i="31"/>
  <c r="V68" i="31"/>
  <c r="V69" i="31"/>
  <c r="V70" i="31"/>
  <c r="V71" i="31"/>
  <c r="V72" i="31"/>
  <c r="V73" i="31"/>
  <c r="V74" i="31"/>
  <c r="V75" i="31"/>
  <c r="V76" i="31"/>
  <c r="V77" i="31"/>
  <c r="V78" i="31"/>
  <c r="V79" i="31"/>
  <c r="V80" i="31"/>
  <c r="V81" i="31"/>
  <c r="V82" i="31"/>
  <c r="V83" i="31"/>
  <c r="V84" i="31"/>
  <c r="V85" i="31"/>
  <c r="V86" i="31"/>
  <c r="V87" i="31"/>
  <c r="V88" i="31"/>
  <c r="V89" i="31"/>
  <c r="V90" i="31"/>
  <c r="V91" i="31"/>
  <c r="V92" i="31"/>
  <c r="V93" i="31"/>
  <c r="V94" i="31"/>
  <c r="V95" i="31"/>
  <c r="V96" i="31"/>
  <c r="V97" i="31"/>
  <c r="V98" i="31"/>
  <c r="V99" i="31"/>
  <c r="V100" i="31"/>
  <c r="V101" i="31"/>
  <c r="V102" i="31"/>
  <c r="V103" i="31"/>
  <c r="V104" i="31"/>
  <c r="V105" i="31"/>
  <c r="V106" i="31"/>
  <c r="V107" i="31"/>
  <c r="V108" i="31"/>
  <c r="V109" i="31"/>
  <c r="V110" i="31"/>
  <c r="V111" i="31"/>
  <c r="V112" i="31"/>
  <c r="V113" i="31"/>
  <c r="V114" i="31"/>
  <c r="V115" i="31"/>
  <c r="V116" i="31"/>
  <c r="R64" i="31"/>
  <c r="R65" i="31"/>
  <c r="R66" i="31"/>
  <c r="R67" i="31"/>
  <c r="R68" i="31"/>
  <c r="R69" i="31"/>
  <c r="R70" i="31"/>
  <c r="R71" i="31"/>
  <c r="R72" i="31"/>
  <c r="R73" i="31"/>
  <c r="R74" i="31"/>
  <c r="R75" i="31"/>
  <c r="R76" i="31"/>
  <c r="R77" i="31"/>
  <c r="R78" i="31"/>
  <c r="R79" i="31"/>
  <c r="R80" i="31"/>
  <c r="R81" i="31"/>
  <c r="R82" i="31"/>
  <c r="R83" i="31"/>
  <c r="R84" i="31"/>
  <c r="R85" i="31"/>
  <c r="R86" i="31"/>
  <c r="R87" i="31"/>
  <c r="R88" i="31"/>
  <c r="R89" i="31"/>
  <c r="R90" i="31"/>
  <c r="R91" i="31"/>
  <c r="R92" i="31"/>
  <c r="R93" i="31"/>
  <c r="R94" i="31"/>
  <c r="R95" i="31"/>
  <c r="R96" i="31"/>
  <c r="R97" i="31"/>
  <c r="R98" i="31"/>
  <c r="R99" i="31"/>
  <c r="R100" i="31"/>
  <c r="R101" i="31"/>
  <c r="R102" i="31"/>
  <c r="R103" i="31"/>
  <c r="R104" i="31"/>
  <c r="R105" i="31"/>
  <c r="R106" i="31"/>
  <c r="R107" i="31"/>
  <c r="R108" i="31"/>
  <c r="R109" i="31"/>
  <c r="R110" i="31"/>
  <c r="R111" i="31"/>
  <c r="R112" i="31"/>
  <c r="R113" i="31"/>
  <c r="R114" i="31"/>
  <c r="R115" i="31"/>
  <c r="R116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V59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R59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E59" i="22"/>
  <c r="F59" i="22"/>
  <c r="G59" i="22"/>
  <c r="H59" i="22"/>
  <c r="J59" i="22"/>
  <c r="K59" i="22"/>
  <c r="L59" i="22"/>
  <c r="M59" i="22"/>
  <c r="I6" i="22"/>
  <c r="I59" i="22" s="1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D6" i="22"/>
  <c r="D59" i="22" s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AJ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U59" i="27"/>
  <c r="V59" i="27"/>
  <c r="W59" i="27"/>
  <c r="X59" i="27"/>
  <c r="Y59" i="27"/>
  <c r="Z59" i="27"/>
  <c r="AA59" i="27"/>
  <c r="AB59" i="27"/>
  <c r="AC59" i="27"/>
  <c r="AD59" i="27"/>
  <c r="AE59" i="27"/>
  <c r="AF59" i="27"/>
  <c r="AG59" i="27"/>
  <c r="AH59" i="27"/>
  <c r="AI59" i="27"/>
  <c r="E59" i="27"/>
  <c r="D6" i="27"/>
  <c r="D59" i="27" s="1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J174" i="26"/>
  <c r="I174" i="26"/>
  <c r="H174" i="26"/>
  <c r="G174" i="26"/>
  <c r="F174" i="26"/>
  <c r="E174" i="26"/>
  <c r="D174" i="26"/>
  <c r="K174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J117" i="26"/>
  <c r="I117" i="26"/>
  <c r="H117" i="26"/>
  <c r="G117" i="26"/>
  <c r="F117" i="26"/>
  <c r="E117" i="26"/>
  <c r="K117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J60" i="26"/>
  <c r="I60" i="26"/>
  <c r="H60" i="26"/>
  <c r="G60" i="26"/>
  <c r="F60" i="26"/>
  <c r="E60" i="26"/>
  <c r="K60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J174" i="25"/>
  <c r="I174" i="25"/>
  <c r="H174" i="25"/>
  <c r="G174" i="25"/>
  <c r="F174" i="25"/>
  <c r="E174" i="25"/>
  <c r="K174" i="25"/>
  <c r="K117" i="25"/>
  <c r="J117" i="25"/>
  <c r="I117" i="25"/>
  <c r="H117" i="25"/>
  <c r="G117" i="25"/>
  <c r="F117" i="25"/>
  <c r="E117" i="25"/>
  <c r="D64" i="25"/>
  <c r="D65" i="25"/>
  <c r="D66" i="25"/>
  <c r="D117" i="25" s="1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J60" i="25"/>
  <c r="I60" i="25"/>
  <c r="H60" i="25"/>
  <c r="G60" i="25"/>
  <c r="F60" i="25"/>
  <c r="E60" i="25"/>
  <c r="K60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L174" i="31" l="1"/>
  <c r="F174" i="31"/>
  <c r="I174" i="31"/>
  <c r="L231" i="31"/>
  <c r="N117" i="31"/>
  <c r="M117" i="31"/>
  <c r="G117" i="31"/>
  <c r="H117" i="31"/>
  <c r="I231" i="31"/>
  <c r="V231" i="31"/>
  <c r="D117" i="26"/>
  <c r="K60" i="31"/>
  <c r="L60" i="31"/>
  <c r="G60" i="31"/>
  <c r="H60" i="31"/>
  <c r="P60" i="31"/>
  <c r="S117" i="31"/>
  <c r="T117" i="31"/>
  <c r="O288" i="31"/>
  <c r="Q288" i="31"/>
  <c r="F288" i="31"/>
  <c r="H288" i="31"/>
  <c r="J288" i="31"/>
  <c r="U60" i="31"/>
  <c r="V288" i="31"/>
  <c r="O174" i="31"/>
  <c r="U174" i="31"/>
  <c r="R174" i="31"/>
  <c r="O231" i="31"/>
  <c r="F231" i="31"/>
  <c r="S231" i="31"/>
  <c r="D60" i="26"/>
  <c r="D60" i="25"/>
  <c r="D122" i="25" l="1"/>
  <c r="D126" i="25"/>
  <c r="D130" i="25"/>
  <c r="D134" i="25"/>
  <c r="D138" i="25"/>
  <c r="D142" i="25"/>
  <c r="D146" i="25"/>
  <c r="D150" i="25"/>
  <c r="D154" i="25"/>
  <c r="D158" i="25"/>
  <c r="D162" i="25"/>
  <c r="D166" i="25"/>
  <c r="D170" i="25"/>
  <c r="D173" i="25" l="1"/>
  <c r="D169" i="25"/>
  <c r="D165" i="25"/>
  <c r="D161" i="25"/>
  <c r="D157" i="25"/>
  <c r="D153" i="25"/>
  <c r="D149" i="25"/>
  <c r="D145" i="25"/>
  <c r="D141" i="25"/>
  <c r="D137" i="25"/>
  <c r="D133" i="25"/>
  <c r="D129" i="25"/>
  <c r="D125" i="25"/>
  <c r="D121" i="25"/>
  <c r="D172" i="25"/>
  <c r="D168" i="25"/>
  <c r="D164" i="25"/>
  <c r="D160" i="25"/>
  <c r="D156" i="25"/>
  <c r="D152" i="25"/>
  <c r="D148" i="25"/>
  <c r="D144" i="25"/>
  <c r="D140" i="25"/>
  <c r="D136" i="25"/>
  <c r="D132" i="25"/>
  <c r="D128" i="25"/>
  <c r="D124" i="25"/>
  <c r="D171" i="25"/>
  <c r="D167" i="25"/>
  <c r="D163" i="25"/>
  <c r="D159" i="25"/>
  <c r="D155" i="25"/>
  <c r="D151" i="25"/>
  <c r="D147" i="25"/>
  <c r="D143" i="25"/>
  <c r="D139" i="25"/>
  <c r="D135" i="25"/>
  <c r="D131" i="25"/>
  <c r="D127" i="25"/>
  <c r="D123" i="25"/>
  <c r="D174" i="25" l="1"/>
</calcChain>
</file>

<file path=xl/sharedStrings.xml><?xml version="1.0" encoding="utf-8"?>
<sst xmlns="http://schemas.openxmlformats.org/spreadsheetml/2006/main" count="1306" uniqueCount="181">
  <si>
    <t>National Records of Scotland (NRS)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</si>
  <si>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</si>
  <si>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</si>
  <si>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</si>
  <si>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</si>
  <si>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</si>
  <si>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</si>
  <si>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</si>
  <si>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</si>
  <si>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</si>
  <si>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</si>
  <si>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</si>
  <si>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</si>
  <si>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</si>
  <si>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</si>
  <si>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</si>
  <si>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</si>
  <si>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</si>
  <si>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</si>
  <si>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</si>
  <si>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</si>
  <si>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</si>
  <si>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</si>
  <si>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</si>
  <si>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</si>
  <si>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</si>
  <si>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</si>
  <si>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 xml:space="preserve">Scottish Borders </t>
  </si>
  <si>
    <t>Shetland Islands</t>
  </si>
  <si>
    <t>South Ayrshire</t>
  </si>
  <si>
    <t>South Lanarkshire</t>
  </si>
  <si>
    <t>Stirling</t>
  </si>
  <si>
    <t>West Dunbartonshire</t>
  </si>
  <si>
    <t>West Lothian</t>
  </si>
  <si>
    <t>Publication date</t>
  </si>
  <si>
    <t>Methods</t>
  </si>
  <si>
    <t>Table of contents</t>
  </si>
  <si>
    <t>Worksheet title</t>
  </si>
  <si>
    <t>Notes</t>
  </si>
  <si>
    <t>Note number</t>
  </si>
  <si>
    <t>Note text</t>
  </si>
  <si>
    <t>Geographic coverage</t>
  </si>
  <si>
    <t>Supplier</t>
  </si>
  <si>
    <t>Department</t>
  </si>
  <si>
    <t>Notes about the data in this spreadsheet</t>
  </si>
  <si>
    <t>Note 1</t>
  </si>
  <si>
    <t>Contents of this spreadsheet and links to each worksheet</t>
  </si>
  <si>
    <t>Time period</t>
  </si>
  <si>
    <t>Worksheet name</t>
  </si>
  <si>
    <t>This worksheet contains one table. Some cells refer to notes which are explained on the notes worksheet.</t>
  </si>
  <si>
    <t>This worksheet contains one table.</t>
  </si>
  <si>
    <t>Related tables</t>
  </si>
  <si>
    <t>All tables</t>
  </si>
  <si>
    <t>Back to table of contents</t>
  </si>
  <si>
    <t>Scotland, council areas, NHS boards</t>
  </si>
  <si>
    <t>Demographic Statistics, Vital Events Branch</t>
  </si>
  <si>
    <r>
      <t>More information about the methods</t>
    </r>
    <r>
      <rPr>
        <sz val="12"/>
        <rFont val="Arial"/>
        <family val="2"/>
      </rPr>
      <t xml:space="preserve"> can be found on the NRS website.</t>
    </r>
  </si>
  <si>
    <t>Week number</t>
  </si>
  <si>
    <t>Week ended</t>
  </si>
  <si>
    <t>This worksheet contains three tables presented vertically with one blank row in between each table.</t>
  </si>
  <si>
    <t>Some cells refer to notes which can be found on the notes worksheet.</t>
  </si>
  <si>
    <t>All ages</t>
  </si>
  <si>
    <t>&lt;1</t>
  </si>
  <si>
    <t>Registration year</t>
  </si>
  <si>
    <t>1-14</t>
  </si>
  <si>
    <t>15-44</t>
  </si>
  <si>
    <t>65-74</t>
  </si>
  <si>
    <t>75-84</t>
  </si>
  <si>
    <t>85+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</si>
  <si>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</si>
  <si>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</si>
  <si>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</si>
  <si>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</si>
  <si>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</si>
  <si>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</si>
  <si>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</si>
  <si>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</si>
  <si>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</si>
  <si>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</si>
  <si>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</si>
  <si>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All causes</t>
  </si>
  <si>
    <t>Cancer deaths</t>
  </si>
  <si>
    <t>Respiratory deaths</t>
  </si>
  <si>
    <t>COVID-19 deaths</t>
  </si>
  <si>
    <t>Dementia / Alzhemier's deaths</t>
  </si>
  <si>
    <t>2020</t>
  </si>
  <si>
    <t>Week beginning</t>
  </si>
  <si>
    <t>Registration Year</t>
  </si>
  <si>
    <t>Other causes</t>
  </si>
  <si>
    <t>Note 2</t>
  </si>
  <si>
    <t>The data are based on date of registration. In Scotland deaths must be registered within 8 days although in practice, the average time between death and registration is around 3 days.  More information on days between occurrence and registration can be found on the NRS website.</t>
  </si>
  <si>
    <t>Link for more information</t>
  </si>
  <si>
    <t>Note 3</t>
  </si>
  <si>
    <t>Weeks run from Monday to Sunday and are based on the ISO8601 international standard for week numbering. Note that weeks at the beginning and end of a year can overlap with the previous and subsequent year, so counts may not sum to annual totals published elsewhere.</t>
  </si>
  <si>
    <t>Note 4</t>
  </si>
  <si>
    <t>Deaths where codes U07.1, U07.2, U09.9 or U10.9 are mentioned on the death certificate according to the WHO International Statistical Classification of Diseases and Related Health Problems 10th Revision (ICD-10).</t>
  </si>
  <si>
    <t>Note 5</t>
  </si>
  <si>
    <t>Figures include non-residents.  Deaths are allocated to area based on the usual residence of the deceased.  If the deceased was not a Scottish resident, the death is allocated to the area where the death occurred.</t>
  </si>
  <si>
    <t>Note 6</t>
  </si>
  <si>
    <t>Note 7</t>
  </si>
  <si>
    <t>Note 8</t>
  </si>
  <si>
    <t>The ICD-10 codes for the categories of disease noted here are as follows: Cancer (C00-C97), Dementia and Alzheimer's (F01, F03, G30), Circulatory (I00-I99), Respiratory (J00-J99), COVID-19 (U07)</t>
  </si>
  <si>
    <t>International Organisation for Standardisation website</t>
  </si>
  <si>
    <t>World Health Orgainisation website - Emergency use COVID-19 related codes</t>
  </si>
  <si>
    <t>All tables except Table 8</t>
  </si>
  <si>
    <t>NRS website - Geographic basis of vital events statistics</t>
  </si>
  <si>
    <t>NRS website - Days until death registration</t>
  </si>
  <si>
    <t>Deaths by week, location and year</t>
  </si>
  <si>
    <t>Deaths involving COVID-19 by council area, week and year</t>
  </si>
  <si>
    <t>Deaths involving COVID-19 by health board area, week and year</t>
  </si>
  <si>
    <t>Locations are defined based on the list of institution codes given by Public Health Scotland. The category 'Other institutions' includes clinics, medical centres, prisons and schools.</t>
  </si>
  <si>
    <t>PHS Website - Reference files</t>
  </si>
  <si>
    <t>Link to paper once published on our website</t>
  </si>
  <si>
    <t>International Statistical Classification of Diseases and Related Health Problems 10th Revision</t>
  </si>
  <si>
    <t>Data is provisional and is subject to change. This is because the cause of death (and other registered details) can be changed after a death has been registered.</t>
  </si>
  <si>
    <t>Deaths by health board area, week and year</t>
  </si>
  <si>
    <t>Tables 7 and 8</t>
  </si>
  <si>
    <t>Table 8</t>
  </si>
  <si>
    <t>The data comes from death registrations, where causes of death are certified by a doctor.</t>
  </si>
  <si>
    <t>Location of death refers to the setting where the death occurred (hospital, home/non-institution, care home, other)</t>
  </si>
  <si>
    <t>Council and health board numbers are generally based on the deceased's usual address where this is available and where the deceased was a Scottish resident. They are based on place of death otherwise.</t>
  </si>
  <si>
    <t>© Crown Copyright 2022</t>
  </si>
  <si>
    <t>All locations
all causes</t>
  </si>
  <si>
    <t>Care Home
all causes</t>
  </si>
  <si>
    <t>Home / Non-institution
all causes</t>
  </si>
  <si>
    <t>Hospital
all causes</t>
  </si>
  <si>
    <t>Other institution
all causes</t>
  </si>
  <si>
    <t>All locations
COVID-19 mentioned</t>
  </si>
  <si>
    <t>Care Home
COVID-19 mentioned</t>
  </si>
  <si>
    <t>Home / Non-institution
COVID-19 mentioned</t>
  </si>
  <si>
    <t>Hospital
COVID-19 mentioned</t>
  </si>
  <si>
    <t>Other institution
COVID-19 mentioned</t>
  </si>
  <si>
    <t>45-64</t>
  </si>
  <si>
    <t>Deaths involving COVID-19 are deaths where COVID-19 has been identified as being involved in the death by a doctor, either as the underlying cause of death or as a contributory cause of death.</t>
  </si>
  <si>
    <t>All causes five year average</t>
  </si>
  <si>
    <t>Cancer five year average</t>
  </si>
  <si>
    <t>Cancer excess</t>
  </si>
  <si>
    <t>Dementia / Alzheimer's five year average</t>
  </si>
  <si>
    <t>Dementia / Alzheimer's 
excess</t>
  </si>
  <si>
    <t>All causes excess</t>
  </si>
  <si>
    <t>Respiratory five year average</t>
  </si>
  <si>
    <t>Respiratory
excess</t>
  </si>
  <si>
    <t>Other causes five year average</t>
  </si>
  <si>
    <t>Other causes
excess</t>
  </si>
  <si>
    <t>The data was published at midday on 12 January 2021.</t>
  </si>
  <si>
    <t>Circulatory deaths</t>
  </si>
  <si>
    <t>Circulatory five year average</t>
  </si>
  <si>
    <t>Circulatory excess</t>
  </si>
  <si>
    <t>This worksheet contains five tables presented vertically with one blank row in between each table.</t>
  </si>
  <si>
    <t>Deaths involving coronavirus (COVID-19) in Scotland - 2020</t>
  </si>
  <si>
    <t>This spreadsheet contains the data for deaths involving COVID-19 in Scotland up to week 53 of 2020</t>
  </si>
  <si>
    <t>Table 1a: Weekly figures on death registrations involving COVID-19 in Scotland by age group, people</t>
  </si>
  <si>
    <t>Table 1b: Weekly figures on death registrations involving COVID-19 in Scotland by age group, females</t>
  </si>
  <si>
    <t>Table 1c: Weekly figures on death registrations involving COVID-19 in Scotland by age group, males</t>
  </si>
  <si>
    <t>Table 4a: Weekly figures on all cause death registrations in Scotland by age group, people</t>
  </si>
  <si>
    <t>Table 4b: Weekly figures on all cause death registrations in Scotland by age group, females</t>
  </si>
  <si>
    <t>Table 8a: Weekly figures death registrations in Scotland by underlying cause, ALL LOCATIONS</t>
  </si>
  <si>
    <t>Table 8b: Weekly figures death registrations in Scotland by underlying cause, CARE HOMES</t>
  </si>
  <si>
    <t>Table 8c: Weekly figures death registrations in Scotland by underlying cause, HOME / NON-INSTITUTION</t>
  </si>
  <si>
    <t>Table 8d: Weekly figures death registrations in Scotland by underlying cause, HOSPITAL</t>
  </si>
  <si>
    <t>Table 8e: Weekly figures death registrations in Scotland by underlying cause, OTHER INSTITUTION</t>
  </si>
  <si>
    <t>This table contains finalised 2020 deaths data.</t>
  </si>
  <si>
    <t>Excess deaths are calculated by comparing the current year to the five year average from previous years. Data frrom 2020 is compared against the period of 2015-2019. Moveable public holidays, when registration offices are closed, affect the number of registrations made in the published weeks and in the corresponding weeks in previous years.</t>
  </si>
  <si>
    <t>Table 1: Weekly figures on death registrations involving COVID-19 in Scotland by sex and age group [note 1][note 2][note 3][note 4][note 5][note 7]</t>
  </si>
  <si>
    <t>Table 2: Weekly figures on death registrations involving COVID-19 in Scotland by NHS board area [note 1][note 2][note 3][note 4][note 5][note 7]</t>
  </si>
  <si>
    <t>Table 3: Weekly figures on death registrations involving COVID-19 in Scotland by council area [note 1][note 2][note 3][note 4][note 5][note 7]</t>
  </si>
  <si>
    <t>Table 4: Weekly figures on all cause death registrations in Scotland by sex and age group [note 1][note 2][note 3][note 4][note 5][note 7]</t>
  </si>
  <si>
    <t>Table 5: Weekly figures on all cause death registrations in Scotland by NHS board area [note 1][note 2][note 3][note 4][note 5][note 7]</t>
  </si>
  <si>
    <t>Table 6: Weekly figures on all cause death registrations in Scotland by council area  [note 1][note 2][note 3][note 4][note 5][note 7]</t>
  </si>
  <si>
    <t>Table 7: Weekly figures on death registrations involving COVID-19 and for all causes in Scotland by location [note 1][note 2][note 3][note 4][note 6][note 7]</t>
  </si>
  <si>
    <t>Table 8: Weekly figures on death registrations by underlying cause of death and location in Scotland [note 1][note 2][note 3][note 5][note 7][note 8]</t>
  </si>
  <si>
    <t>Weekly figures on death registrations involving COVID-19 in Scotland by sex and age group</t>
  </si>
  <si>
    <t>Weekly figures on death registrations involving COVID-19 in Scotland by NHS board area</t>
  </si>
  <si>
    <t>Weekly figures on death registrations involving COVID-19 in Scotland by council area</t>
  </si>
  <si>
    <t>Weekly figures on all cause death registrations in Scotland by sex and age group</t>
  </si>
  <si>
    <t>Weekly figures on all cause death registrations in Scotland by NHS board area</t>
  </si>
  <si>
    <t>Weekly figures on all cause death registrations in Scotland by council area</t>
  </si>
  <si>
    <t>Weekly figures on death registrations involving COVID-19 and for all causes in Scotland by location</t>
  </si>
  <si>
    <t>Weekly figures on death registrations by underlying cause of death and location in Scotland</t>
  </si>
  <si>
    <t>Total</t>
  </si>
  <si>
    <t>Table 4c: Weekly figures on all cause death registrations in Scotland by age group,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</si>
</sst>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</cellStyleXfs>
  <cellXfs count="89">
    <xf numFmtId="0" fontId="0" fillId="0" borderId="0" xfId="0"/>
    <xf numFmtId="3" fontId="2" fillId="0" borderId="5" xfId="9" applyNumberFormat="1" applyFont="1" applyFill="1" applyBorder="1" applyAlignment="1">
      <alignment horizontal="right"/>
    </xf>
    <xf numFmtId="3" fontId="2" fillId="0" borderId="0" xfId="9" applyNumberFormat="1" applyFont="1" applyFill="1" applyBorder="1" applyAlignment="1">
      <alignment horizontal="right"/>
    </xf>
    <xf numFmtId="3" fontId="2" fillId="0" borderId="2" xfId="9" applyNumberFormat="1" applyFont="1" applyFill="1" applyBorder="1" applyAlignment="1">
      <alignment horizontal="right"/>
    </xf>
    <xf numFmtId="0" fontId="20" fillId="0" borderId="0" xfId="5" applyFont="1" applyFill="1"/>
    <xf numFmtId="0" fontId="2" fillId="0" borderId="0" xfId="0" applyFont="1"/>
    <xf numFmtId="0" fontId="11" fillId="0" borderId="0" xfId="0" applyFont="1"/>
    <xf numFmtId="49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1" fillId="0" borderId="0" xfId="0" applyFont="1"/>
    <xf numFmtId="49" fontId="2" fillId="0" borderId="0" xfId="0" applyNumberFormat="1" applyFont="1"/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3" fontId="2" fillId="0" borderId="4" xfId="9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14" fillId="0" borderId="0" xfId="5" applyFill="1" applyAlignment="1">
      <alignment wrapText="1"/>
    </xf>
    <xf numFmtId="0" fontId="13" fillId="0" borderId="0" xfId="0" applyFont="1"/>
    <xf numFmtId="0" fontId="9" fillId="0" borderId="0" xfId="0" applyFont="1"/>
    <xf numFmtId="0" fontId="10" fillId="0" borderId="0" xfId="0" applyFont="1"/>
    <xf numFmtId="0" fontId="19" fillId="0" borderId="0" xfId="0" applyFont="1"/>
    <xf numFmtId="0" fontId="2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7" fillId="0" borderId="0" xfId="1" applyFont="1" applyFill="1" applyAlignment="1" applyProtection="1">
      <alignment wrapText="1"/>
    </xf>
    <xf numFmtId="0" fontId="11" fillId="0" borderId="0" xfId="0" applyFont="1" applyAlignment="1">
      <alignment wrapText="1"/>
    </xf>
    <xf numFmtId="0" fontId="12" fillId="0" borderId="0" xfId="1" applyFont="1" applyFill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17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 wrapText="1"/>
    </xf>
    <xf numFmtId="0" fontId="1" fillId="0" borderId="0" xfId="0" applyFont="1" applyAlignment="1">
      <alignment wrapText="1"/>
    </xf>
    <xf numFmtId="0" fontId="20" fillId="0" borderId="0" xfId="5" applyFont="1" applyFill="1" applyAlignment="1">
      <alignment wrapText="1"/>
    </xf>
    <xf numFmtId="0" fontId="20" fillId="0" borderId="0" xfId="6" applyFont="1" applyFill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0" fillId="0" borderId="0" xfId="5" applyFont="1" applyFill="1" applyBorder="1"/>
    <xf numFmtId="3" fontId="1" fillId="0" borderId="0" xfId="0" applyNumberFormat="1" applyFont="1" applyAlignment="1">
      <alignment wrapText="1"/>
    </xf>
    <xf numFmtId="3" fontId="2" fillId="0" borderId="0" xfId="9" applyNumberFormat="1" applyFont="1" applyFill="1" applyBorder="1" applyAlignment="1"/>
    <xf numFmtId="3" fontId="2" fillId="0" borderId="0" xfId="2" applyNumberFormat="1" applyFont="1"/>
    <xf numFmtId="3" fontId="2" fillId="0" borderId="0" xfId="0" applyNumberFormat="1" applyFont="1"/>
    <xf numFmtId="0" fontId="1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3" fontId="2" fillId="0" borderId="4" xfId="9" applyNumberFormat="1" applyFont="1" applyFill="1" applyBorder="1" applyAlignment="1"/>
    <xf numFmtId="3" fontId="2" fillId="0" borderId="2" xfId="9" applyNumberFormat="1" applyFont="1" applyFill="1" applyBorder="1" applyAlignment="1"/>
    <xf numFmtId="3" fontId="2" fillId="0" borderId="2" xfId="2" applyNumberFormat="1" applyFont="1" applyBorder="1"/>
    <xf numFmtId="3" fontId="2" fillId="0" borderId="2" xfId="0" applyNumberFormat="1" applyFont="1" applyBorder="1"/>
    <xf numFmtId="49" fontId="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17" fillId="0" borderId="0" xfId="1" applyFont="1" applyFill="1" applyAlignment="1" applyProtection="1"/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/>
    <xf numFmtId="3" fontId="22" fillId="0" borderId="0" xfId="0" applyNumberFormat="1" applyFont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9" fillId="0" borderId="7" xfId="0" applyFont="1" applyBorder="1"/>
    <xf numFmtId="3" fontId="19" fillId="0" borderId="7" xfId="0" applyNumberFormat="1" applyFont="1" applyBorder="1"/>
    <xf numFmtId="3" fontId="19" fillId="0" borderId="6" xfId="0" applyNumberFormat="1" applyFont="1" applyBorder="1"/>
    <xf numFmtId="0" fontId="1" fillId="0" borderId="6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9" fillId="0" borderId="8" xfId="0" applyFont="1" applyBorder="1"/>
    <xf numFmtId="0" fontId="19" fillId="0" borderId="9" xfId="0" applyFont="1" applyBorder="1"/>
    <xf numFmtId="3" fontId="19" fillId="0" borderId="9" xfId="0" applyNumberFormat="1" applyFont="1" applyBorder="1"/>
    <xf numFmtId="3" fontId="19" fillId="0" borderId="10" xfId="0" applyNumberFormat="1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</cellXfs>
  <cellStyles count="11">
    <cellStyle name="Comma 3" xfId="9" xr:uid="{00000000-0005-0000-0000-000000000000}"/>
    <cellStyle name="Heading 1 2" xfId="5" xr:uid="{00000000-0005-0000-0000-000001000000}"/>
    <cellStyle name="Heading 2 2" xfId="6" xr:uid="{00000000-0005-0000-0000-000002000000}"/>
    <cellStyle name="Hyperlink" xfId="1" builtinId="8"/>
    <cellStyle name="Normal" xfId="0" builtinId="0"/>
    <cellStyle name="Normal 2" xfId="2" xr:uid="{00000000-0005-0000-0000-000005000000}"/>
    <cellStyle name="Normal 2 2" xfId="3" xr:uid="{00000000-0005-0000-0000-000006000000}"/>
    <cellStyle name="Normal 2 3" xfId="7" xr:uid="{00000000-0005-0000-0000-000007000000}"/>
    <cellStyle name="Normal 3" xfId="4" xr:uid="{00000000-0005-0000-0000-000008000000}"/>
    <cellStyle name="Normal 6" xfId="10" xr:uid="{00000000-0005-0000-0000-000009000000}"/>
    <cellStyle name="Paragraph Han" xfId="8" xr:uid="{00000000-0005-0000-0000-00000A000000}"/>
  </cellStyles>
  <dxfs count="60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d\-mmm\-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font>
        <b val="0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of_contents" displayName="Table_of_contents" ref="A4:B13" totalsRowShown="0" headerRowDxfId="600" dataDxfId="599">
  <autoFilter ref="A4:B13" xr:uid="{00000000-0009-0000-0100-000002000000}">
    <filterColumn colId="0" hiddenButton="1"/>
    <filterColumn colId="1" hiddenButton="1"/>
  </autoFilter>
  <tableColumns count="2">
    <tableColumn id="1" xr3:uid="{00000000-0010-0000-0000-000001000000}" name="Worksheet name" dataDxfId="598"/>
    <tableColumn id="2" xr3:uid="{00000000-0010-0000-0000-000002000000}" name="Worksheet title" dataDxfId="597" dataCellStyle="Hyperlink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weekly_all_cause_deaths_age_males" displayName="weekly_all_cause_deaths_age_males" ref="A120:K174" totalsRowCount="1" headerRowDxfId="393" dataDxfId="391" totalsRowDxfId="389" headerRowBorderDxfId="392" tableBorderDxfId="390" totalsRowBorderDxfId="388">
  <autoFilter ref="A120:K173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900-000018000000}" name="Registration year" totalsRowLabel="Total" dataDxfId="387" totalsRowDxfId="386"/>
    <tableColumn id="1" xr3:uid="{00000000-0010-0000-0900-000001000000}" name="Week number" totalsRowLabel="Total" dataDxfId="385" totalsRowDxfId="384"/>
    <tableColumn id="2" xr3:uid="{00000000-0010-0000-0900-000002000000}" name="Week ended" totalsRowLabel="Total" dataDxfId="383" totalsRowDxfId="382"/>
    <tableColumn id="3" xr3:uid="{00000000-0010-0000-0900-000003000000}" name="All ages" totalsRowFunction="sum" dataDxfId="381" totalsRowDxfId="380">
      <calculatedColumnFormula>SUM(weekly_all_cause_deaths_age_males[[#This Row],[&lt;1]:[85+]])</calculatedColumnFormula>
    </tableColumn>
    <tableColumn id="4" xr3:uid="{00000000-0010-0000-0900-000004000000}" name="&lt;1" totalsRowFunction="sum" dataDxfId="379" totalsRowDxfId="378"/>
    <tableColumn id="5" xr3:uid="{00000000-0010-0000-0900-000005000000}" name="1-14" totalsRowFunction="sum" dataDxfId="377" totalsRowDxfId="376"/>
    <tableColumn id="6" xr3:uid="{00000000-0010-0000-0900-000006000000}" name="15-44" totalsRowFunction="sum" dataDxfId="375" totalsRowDxfId="374"/>
    <tableColumn id="7" xr3:uid="{00000000-0010-0000-0900-000007000000}" name="45-64" totalsRowFunction="sum" dataDxfId="373" totalsRowDxfId="372"/>
    <tableColumn id="8" xr3:uid="{00000000-0010-0000-0900-000008000000}" name="65-74" totalsRowFunction="sum" dataDxfId="371" totalsRowDxfId="370"/>
    <tableColumn id="9" xr3:uid="{00000000-0010-0000-0900-000009000000}" name="75-84" totalsRowFunction="sum" dataDxfId="369" totalsRowDxfId="368"/>
    <tableColumn id="10" xr3:uid="{00000000-0010-0000-0900-00000A000000}" name="85+" totalsRowFunction="sum" dataDxfId="367" totalsRowDxfId="36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weekly_all_cause_deaths_health_board" displayName="weekly_all_cause_deaths_health_board" ref="A5:R59" totalsRowCount="1" headerRowDxfId="365" dataDxfId="363" totalsRowDxfId="361" headerRowBorderDxfId="364" tableBorderDxfId="362" totalsRowBorderDxfId="360">
  <autoFilter ref="A5:R58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24" xr3:uid="{00000000-0010-0000-0A00-000018000000}" name="Registration year" totalsRowLabel="Total" dataDxfId="359" totalsRowDxfId="358"/>
    <tableColumn id="1" xr3:uid="{00000000-0010-0000-0A00-000001000000}" name="Week number" totalsRowLabel="Total" dataDxfId="357" totalsRowDxfId="356"/>
    <tableColumn id="2" xr3:uid="{00000000-0010-0000-0A00-000002000000}" name="Week beginning" totalsRowLabel="Total" dataDxfId="355" totalsRowDxfId="354"/>
    <tableColumn id="3" xr3:uid="{00000000-0010-0000-0A00-000003000000}" name="Scotland" totalsRowFunction="sum" dataDxfId="353" totalsRowDxfId="352">
      <calculatedColumnFormula>SUM(weekly_all_cause_deaths_health_board[[#This Row],[Ayrshire and Arran]:[Western Isles]])</calculatedColumnFormula>
    </tableColumn>
    <tableColumn id="4" xr3:uid="{00000000-0010-0000-0A00-000004000000}" name="Ayrshire and Arran" totalsRowFunction="sum" dataDxfId="351" totalsRowDxfId="350">
      <calculatedColumnFormula>weekly_all_cause_deaths_council_area[[#This Row],[East Ayrshire]]+weekly_all_cause_deaths_council_area[[#This Row],[North Ayrshire]]+weekly_all_cause_deaths_council_area[[#This Row],[South Ayrshire]]</calculatedColumnFormula>
    </tableColumn>
    <tableColumn id="5" xr3:uid="{00000000-0010-0000-0A00-000005000000}" name="Borders" totalsRowFunction="sum" dataDxfId="349" totalsRowDxfId="348">
      <calculatedColumnFormula>weekly_all_cause_deaths_council_area[[#This Row],[Scottish Borders ]]</calculatedColumnFormula>
    </tableColumn>
    <tableColumn id="6" xr3:uid="{00000000-0010-0000-0A00-000006000000}" name="Dumfries and Galloway" totalsRowFunction="sum" dataDxfId="347" totalsRowDxfId="346">
      <calculatedColumnFormula>weekly_all_cause_deaths_council_area[[#This Row],[Dumfries and Galloway]]</calculatedColumnFormula>
    </tableColumn>
    <tableColumn id="7" xr3:uid="{00000000-0010-0000-0A00-000007000000}" name="Fife" totalsRowFunction="sum" dataDxfId="345" totalsRowDxfId="344">
      <calculatedColumnFormula>weekly_all_cause_deaths_council_area[[#This Row],[Fife]]</calculatedColumnFormula>
    </tableColumn>
    <tableColumn id="8" xr3:uid="{00000000-0010-0000-0A00-000008000000}" name="Forth Valley" totalsRowFunction="sum" dataDxfId="343" totalsRowDxfId="342">
      <calculatedColumnFormula>weekly_all_cause_deaths_council_area[[#This Row],[Clackmannanshire]]+weekly_all_cause_deaths_council_area[[#This Row],[Falkirk]]+weekly_all_cause_deaths_council_area[[#This Row],[Stirling]]</calculatedColumnFormula>
    </tableColumn>
    <tableColumn id="9" xr3:uid="{00000000-0010-0000-0A00-000009000000}" name="Grampian" totalsRowFunction="sum" dataDxfId="341" totalsRowDxfId="340">
      <calculatedColumnFormula>weekly_all_cause_deaths_council_area[[#This Row],[Aberdeen City]]+weekly_all_cause_deaths_council_area[[#This Row],[Aberdeenshire]]+weekly_all_cause_deaths_council_area[[#This Row],[Moray]]</calculatedColumnFormula>
    </tableColumn>
    <tableColumn id="10" xr3:uid="{00000000-0010-0000-0A00-00000A000000}" name="Greater Glasgow and Clyde" totalsRowFunction="sum" dataDxfId="339" totalsRowDxfId="338">
      <calculatedColumnFormula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calculatedColumnFormula>
    </tableColumn>
    <tableColumn id="11" xr3:uid="{00000000-0010-0000-0A00-00000B000000}" name="Highland" totalsRowFunction="sum" dataDxfId="337" totalsRowDxfId="336">
      <calculatedColumnFormula>weekly_all_cause_deaths_council_area[[#This Row],[Argyll and Bute]]+weekly_all_cause_deaths_council_area[[#This Row],[Highland]]</calculatedColumnFormula>
    </tableColumn>
    <tableColumn id="25" xr3:uid="{00000000-0010-0000-0A00-000019000000}" name="Lanarkshire" totalsRowFunction="sum" dataDxfId="335" totalsRowDxfId="334">
      <calculatedColumnFormula>weekly_all_cause_deaths_council_area[[#This Row],[North Lanarkshire]]+weekly_all_cause_deaths_council_area[[#This Row],[South Lanarkshire]]</calculatedColumnFormula>
    </tableColumn>
    <tableColumn id="26" xr3:uid="{00000000-0010-0000-0A00-00001A000000}" name="Lothian" totalsRowFunction="sum" dataDxfId="333" totalsRowDxfId="332">
      <calculatedColumnFormula>weekly_all_cause_deaths_council_area[[#This Row],[City of Edinburgh]]+weekly_all_cause_deaths_council_area[[#This Row],[East Lothian]]+weekly_all_cause_deaths_council_area[[#This Row],[Midlothian]]+weekly_all_cause_deaths_council_area[[#This Row],[West Lothian]]</calculatedColumnFormula>
    </tableColumn>
    <tableColumn id="27" xr3:uid="{00000000-0010-0000-0A00-00001B000000}" name="Orkney" totalsRowFunction="sum" dataDxfId="331" totalsRowDxfId="330">
      <calculatedColumnFormula>weekly_all_cause_deaths_council_area[[#This Row],[Orkney Islands]]</calculatedColumnFormula>
    </tableColumn>
    <tableColumn id="28" xr3:uid="{00000000-0010-0000-0A00-00001C000000}" name="Shetland" totalsRowFunction="sum" dataDxfId="329" totalsRowDxfId="328">
      <calculatedColumnFormula>weekly_all_cause_deaths_council_area[[#This Row],[Shetland Islands]]</calculatedColumnFormula>
    </tableColumn>
    <tableColumn id="29" xr3:uid="{00000000-0010-0000-0A00-00001D000000}" name="Tayside" totalsRowFunction="sum" dataDxfId="327" totalsRowDxfId="326">
      <calculatedColumnFormula>weekly_all_cause_deaths_council_area[[#This Row],[Angus]]+weekly_all_cause_deaths_council_area[[#This Row],[Dundee City]]+weekly_all_cause_deaths_council_area[[#This Row],[Perth and Kinross]]</calculatedColumnFormula>
    </tableColumn>
    <tableColumn id="30" xr3:uid="{00000000-0010-0000-0A00-00001E000000}" name="Western Isles" totalsRowFunction="sum" dataDxfId="325" totalsRowDxfId="324">
      <calculatedColumnFormula>weekly_all_cause_deaths_council_area[[#This Row],[Na h-Eileanan Siar]]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weekly_all_cause_deaths_council_area" displayName="weekly_all_cause_deaths_council_area" ref="A5:AJ59" totalsRowCount="1" headerRowDxfId="323" dataDxfId="321" totalsRowDxfId="319" headerRowBorderDxfId="322" tableBorderDxfId="320" totalsRowBorderDxfId="318">
  <autoFilter ref="A5:AJ58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6" xr3:uid="{00000000-0010-0000-0B00-000006000000}" name="Registration year" totalsRowLabel="Total" totalsRowDxfId="317"/>
    <tableColumn id="1" xr3:uid="{00000000-0010-0000-0B00-000001000000}" name="Week number" totalsRowLabel="Total" totalsRowDxfId="316"/>
    <tableColumn id="2" xr3:uid="{00000000-0010-0000-0B00-000002000000}" name="Week beginning" totalsRowLabel="Total" totalsRowDxfId="315"/>
    <tableColumn id="3" xr3:uid="{00000000-0010-0000-0B00-000003000000}" name="Scotland" totalsRowFunction="sum" totalsRowDxfId="314">
      <calculatedColumnFormula>SUM(weekly_all_cause_deaths_council_area[[#This Row],[Aberdeen City]:[West Lothian]])</calculatedColumnFormula>
    </tableColumn>
    <tableColumn id="4" xr3:uid="{00000000-0010-0000-0B00-000004000000}" name="Aberdeen City" totalsRowFunction="sum" totalsRowDxfId="313"/>
    <tableColumn id="5" xr3:uid="{00000000-0010-0000-0B00-000005000000}" name="Aberdeenshire" totalsRowFunction="custom" totalsRowDxfId="312">
      <totalsRowFormula>SUBTOTAL(109,weekly_all_cause_deaths_council_area[Aberdeen City])</totalsRowFormula>
    </tableColumn>
    <tableColumn id="14" xr3:uid="{00000000-0010-0000-0B00-00000E000000}" name="Angus" totalsRowFunction="custom" totalsRowDxfId="311">
      <totalsRowFormula>SUBTOTAL(109,weekly_all_cause_deaths_council_area[Aberdeenshire])</totalsRowFormula>
    </tableColumn>
    <tableColumn id="15" xr3:uid="{00000000-0010-0000-0B00-00000F000000}" name="Argyll and Bute" totalsRowFunction="custom" totalsRowDxfId="310">
      <totalsRowFormula>SUBTOTAL(109,weekly_all_cause_deaths_council_area[Aberdeenshire])</totalsRowFormula>
    </tableColumn>
    <tableColumn id="16" xr3:uid="{00000000-0010-0000-0B00-000010000000}" name="City of Edinburgh" totalsRowFunction="custom" totalsRowDxfId="309">
      <totalsRowFormula>SUBTOTAL(109,weekly_all_cause_deaths_council_area[Angus])</totalsRowFormula>
    </tableColumn>
    <tableColumn id="17" xr3:uid="{00000000-0010-0000-0B00-000011000000}" name="Clackmannanshire" totalsRowFunction="custom" totalsRowDxfId="308">
      <totalsRowFormula>SUBTOTAL(109,weekly_all_cause_deaths_council_area[Angus])</totalsRowFormula>
    </tableColumn>
    <tableColumn id="18" xr3:uid="{00000000-0010-0000-0B00-000012000000}" name="Dumfries and Galloway" totalsRowFunction="custom" totalsRowDxfId="307">
      <totalsRowFormula>SUBTOTAL(109,weekly_all_cause_deaths_council_area[Argyll and Bute])</totalsRowFormula>
    </tableColumn>
    <tableColumn id="19" xr3:uid="{00000000-0010-0000-0B00-000013000000}" name="Dundee City" totalsRowFunction="custom" totalsRowDxfId="306">
      <totalsRowFormula>SUBTOTAL(109,weekly_all_cause_deaths_council_area[Argyll and Bute])</totalsRowFormula>
    </tableColumn>
    <tableColumn id="20" xr3:uid="{00000000-0010-0000-0B00-000014000000}" name="East Ayrshire" totalsRowFunction="custom" totalsRowDxfId="305">
      <totalsRowFormula>SUBTOTAL(109,weekly_all_cause_deaths_council_area[City of Edinburgh])</totalsRowFormula>
    </tableColumn>
    <tableColumn id="21" xr3:uid="{00000000-0010-0000-0B00-000015000000}" name="East Dunbartonshire" totalsRowFunction="custom" totalsRowDxfId="304">
      <totalsRowFormula>SUBTOTAL(109,weekly_all_cause_deaths_council_area[City of Edinburgh])</totalsRowFormula>
    </tableColumn>
    <tableColumn id="22" xr3:uid="{00000000-0010-0000-0B00-000016000000}" name="East Lothian" totalsRowFunction="custom" totalsRowDxfId="303">
      <totalsRowFormula>SUBTOTAL(109,weekly_all_cause_deaths_council_area[Clackmannanshire])</totalsRowFormula>
    </tableColumn>
    <tableColumn id="23" xr3:uid="{00000000-0010-0000-0B00-000017000000}" name="East Renfrewshire" totalsRowFunction="custom" totalsRowDxfId="302">
      <totalsRowFormula>SUBTOTAL(109,weekly_all_cause_deaths_council_area[Clackmannanshire])</totalsRowFormula>
    </tableColumn>
    <tableColumn id="24" xr3:uid="{00000000-0010-0000-0B00-000018000000}" name="Falkirk" totalsRowFunction="custom" totalsRowDxfId="301">
      <totalsRowFormula>SUBTOTAL(109,weekly_all_cause_deaths_council_area[Dumfries and Galloway])</totalsRowFormula>
    </tableColumn>
    <tableColumn id="25" xr3:uid="{00000000-0010-0000-0B00-000019000000}" name="Fife" totalsRowFunction="custom" totalsRowDxfId="300">
      <totalsRowFormula>SUBTOTAL(109,weekly_all_cause_deaths_council_area[Dumfries and Galloway])</totalsRowFormula>
    </tableColumn>
    <tableColumn id="26" xr3:uid="{00000000-0010-0000-0B00-00001A000000}" name="Glasgow City" totalsRowFunction="custom" totalsRowDxfId="299">
      <totalsRowFormula>SUBTOTAL(109,weekly_all_cause_deaths_council_area[Dundee City])</totalsRowFormula>
    </tableColumn>
    <tableColumn id="27" xr3:uid="{00000000-0010-0000-0B00-00001B000000}" name="Highland" totalsRowFunction="custom" totalsRowDxfId="298">
      <totalsRowFormula>SUBTOTAL(109,weekly_all_cause_deaths_council_area[Dundee City])</totalsRowFormula>
    </tableColumn>
    <tableColumn id="28" xr3:uid="{00000000-0010-0000-0B00-00001C000000}" name="Inverclyde" totalsRowFunction="custom" totalsRowDxfId="297">
      <totalsRowFormula>SUBTOTAL(109,weekly_all_cause_deaths_council_area[East Ayrshire])</totalsRowFormula>
    </tableColumn>
    <tableColumn id="29" xr3:uid="{00000000-0010-0000-0B00-00001D000000}" name="Midlothian" totalsRowFunction="custom" totalsRowDxfId="296">
      <totalsRowFormula>SUBTOTAL(109,weekly_all_cause_deaths_council_area[East Ayrshire])</totalsRowFormula>
    </tableColumn>
    <tableColumn id="30" xr3:uid="{00000000-0010-0000-0B00-00001E000000}" name="Moray" totalsRowFunction="custom" totalsRowDxfId="295">
      <totalsRowFormula>SUBTOTAL(109,weekly_all_cause_deaths_council_area[East Dunbartonshire])</totalsRowFormula>
    </tableColumn>
    <tableColumn id="31" xr3:uid="{00000000-0010-0000-0B00-00001F000000}" name="Na h-Eileanan Siar" totalsRowFunction="custom" totalsRowDxfId="294">
      <totalsRowFormula>SUBTOTAL(109,weekly_all_cause_deaths_council_area[East Dunbartonshire])</totalsRowFormula>
    </tableColumn>
    <tableColumn id="32" xr3:uid="{00000000-0010-0000-0B00-000020000000}" name="North Ayrshire" totalsRowFunction="custom" totalsRowDxfId="293">
      <totalsRowFormula>SUBTOTAL(109,weekly_all_cause_deaths_council_area[East Lothian])</totalsRowFormula>
    </tableColumn>
    <tableColumn id="33" xr3:uid="{00000000-0010-0000-0B00-000021000000}" name="North Lanarkshire" totalsRowFunction="custom" totalsRowDxfId="292">
      <totalsRowFormula>SUBTOTAL(109,weekly_all_cause_deaths_council_area[East Lothian])</totalsRowFormula>
    </tableColumn>
    <tableColumn id="34" xr3:uid="{00000000-0010-0000-0B00-000022000000}" name="Orkney Islands" totalsRowFunction="custom" totalsRowDxfId="291">
      <totalsRowFormula>SUBTOTAL(109,weekly_all_cause_deaths_council_area[East Renfrewshire])</totalsRowFormula>
    </tableColumn>
    <tableColumn id="35" xr3:uid="{00000000-0010-0000-0B00-000023000000}" name="Perth and Kinross" totalsRowFunction="custom" totalsRowDxfId="290">
      <totalsRowFormula>SUBTOTAL(109,weekly_all_cause_deaths_council_area[East Renfrewshire])</totalsRowFormula>
    </tableColumn>
    <tableColumn id="36" xr3:uid="{00000000-0010-0000-0B00-000024000000}" name="Renfrewshire" totalsRowFunction="custom" totalsRowDxfId="289">
      <totalsRowFormula>SUBTOTAL(109,weekly_all_cause_deaths_council_area[Falkirk])</totalsRowFormula>
    </tableColumn>
    <tableColumn id="37" xr3:uid="{00000000-0010-0000-0B00-000025000000}" name="Scottish Borders " totalsRowFunction="custom" totalsRowDxfId="288">
      <totalsRowFormula>SUBTOTAL(109,weekly_all_cause_deaths_council_area[Falkirk])</totalsRowFormula>
    </tableColumn>
    <tableColumn id="38" xr3:uid="{00000000-0010-0000-0B00-000026000000}" name="Shetland Islands" totalsRowFunction="custom" totalsRowDxfId="287">
      <totalsRowFormula>SUBTOTAL(109,weekly_all_cause_deaths_council_area[Fife])</totalsRowFormula>
    </tableColumn>
    <tableColumn id="39" xr3:uid="{00000000-0010-0000-0B00-000027000000}" name="South Ayrshire" totalsRowFunction="custom" totalsRowDxfId="286">
      <totalsRowFormula>SUBTOTAL(109,weekly_all_cause_deaths_council_area[Fife])</totalsRowFormula>
    </tableColumn>
    <tableColumn id="40" xr3:uid="{00000000-0010-0000-0B00-000028000000}" name="South Lanarkshire" totalsRowFunction="custom" totalsRowDxfId="285">
      <totalsRowFormula>SUBTOTAL(109,weekly_all_cause_deaths_council_area[Glasgow City])</totalsRowFormula>
    </tableColumn>
    <tableColumn id="41" xr3:uid="{00000000-0010-0000-0B00-000029000000}" name="Stirling" totalsRowFunction="custom" totalsRowDxfId="284">
      <totalsRowFormula>SUBTOTAL(109,weekly_all_cause_deaths_council_area[Glasgow City])</totalsRowFormula>
    </tableColumn>
    <tableColumn id="42" xr3:uid="{00000000-0010-0000-0B00-00002A000000}" name="West Dunbartonshire" totalsRowFunction="custom" totalsRowDxfId="283">
      <totalsRowFormula>SUBTOTAL(109,weekly_all_cause_deaths_council_area[Highland])</totalsRowFormula>
    </tableColumn>
    <tableColumn id="43" xr3:uid="{00000000-0010-0000-0B00-00002B000000}" name="West Lothian" totalsRowFunction="custom" totalsRowDxfId="282">
      <totalsRowFormula>SUBTOTAL(109,weekly_all_cause_deaths_council_area[Highland])</totalsRowFormula>
    </tableColumn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weekly_deaths_by_location" displayName="weekly_deaths_by_location" ref="A5:M59" totalsRowCount="1" headerRowDxfId="281" dataDxfId="279" totalsRowDxfId="277" headerRowBorderDxfId="280" tableBorderDxfId="278" totalsRowBorderDxfId="276">
  <autoFilter ref="A5:M58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24" xr3:uid="{00000000-0010-0000-0C00-000018000000}" name="Registration year" totalsRowLabel="Total" dataDxfId="275" totalsRowDxfId="274"/>
    <tableColumn id="1" xr3:uid="{00000000-0010-0000-0C00-000001000000}" name="Week number" totalsRowLabel="Total" dataDxfId="273" totalsRowDxfId="272"/>
    <tableColumn id="2" xr3:uid="{00000000-0010-0000-0C00-000002000000}" name="Week beginning" totalsRowLabel="Total" dataDxfId="271" totalsRowDxfId="270"/>
    <tableColumn id="3" xr3:uid="{00000000-0010-0000-0C00-000003000000}" name="All locations_x000a_all causes" totalsRowFunction="sum" dataDxfId="269" totalsRowDxfId="268">
      <calculatedColumnFormula>SUM(weekly_deaths_by_location[[#This Row],[Care Home
all causes]:[Other institution
all causes]])</calculatedColumnFormula>
    </tableColumn>
    <tableColumn id="4" xr3:uid="{00000000-0010-0000-0C00-000004000000}" name="Care Home_x000a_all causes" totalsRowFunction="sum" dataDxfId="267" totalsRowDxfId="266"/>
    <tableColumn id="5" xr3:uid="{00000000-0010-0000-0C00-000005000000}" name="Home / Non-institution_x000a_all causes" totalsRowFunction="sum" dataDxfId="265" totalsRowDxfId="264"/>
    <tableColumn id="6" xr3:uid="{00000000-0010-0000-0C00-000006000000}" name="Hospital_x000a_all causes" totalsRowFunction="sum" dataDxfId="263" totalsRowDxfId="262"/>
    <tableColumn id="29" xr3:uid="{00000000-0010-0000-0C00-00001D000000}" name="Other institution_x000a_all causes" totalsRowFunction="sum" dataDxfId="261" totalsRowDxfId="260"/>
    <tableColumn id="28" xr3:uid="{00000000-0010-0000-0C00-00001C000000}" name="All locations_x000a_COVID-19 mentioned" totalsRowFunction="sum" dataDxfId="259" totalsRowDxfId="258">
      <calculatedColumnFormula>SUM(weekly_deaths_by_location[[#This Row],[Care Home
COVID-19 mentioned]:[Other institution
COVID-19 mentioned]])</calculatedColumnFormula>
    </tableColumn>
    <tableColumn id="27" xr3:uid="{00000000-0010-0000-0C00-00001B000000}" name="Care Home_x000a_COVID-19 mentioned" totalsRowFunction="sum" dataDxfId="257" totalsRowDxfId="256"/>
    <tableColumn id="26" xr3:uid="{00000000-0010-0000-0C00-00001A000000}" name="Home / Non-institution_x000a_COVID-19 mentioned" totalsRowFunction="sum" dataDxfId="255" totalsRowDxfId="254"/>
    <tableColumn id="25" xr3:uid="{00000000-0010-0000-0C00-000019000000}" name="Hospital_x000a_COVID-19 mentioned" totalsRowFunction="sum" dataDxfId="253" totalsRowDxfId="252"/>
    <tableColumn id="7" xr3:uid="{00000000-0010-0000-0C00-000007000000}" name="Other institution_x000a_COVID-19 mentioned" totalsRowFunction="sum" dataDxfId="251" totalsRowDxfId="25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D000000}" name="weekly_deaths_location_cause_and_excess_deaths" displayName="weekly_deaths_location_cause_and_excess_deaths" ref="A6:V60" totalsRowCount="1" headerRowDxfId="249" dataDxfId="247" totalsRowDxfId="245" headerRowBorderDxfId="248" tableBorderDxfId="246" totalsRowBorderDxfId="244">
  <autoFilter ref="A6:V59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xr3:uid="{00000000-0010-0000-0D00-000018000000}" name="Registration year" totalsRowLabel="Total" dataDxfId="243" totalsRowDxfId="242"/>
    <tableColumn id="1" xr3:uid="{00000000-0010-0000-0D00-000001000000}" name="Week number" totalsRowLabel="Total" dataDxfId="241" totalsRowDxfId="240"/>
    <tableColumn id="2" xr3:uid="{00000000-0010-0000-0D00-000002000000}" name="Week beginning" totalsRowLabel="Total" dataDxfId="239" totalsRowDxfId="238"/>
    <tableColumn id="3" xr3:uid="{00000000-0010-0000-0D00-000003000000}" name="All causes" totalsRowFunction="sum" dataDxfId="237" totalsRowDxfId="236"/>
    <tableColumn id="4" xr3:uid="{00000000-0010-0000-0D00-000004000000}" name="All causes five year average" totalsRowFunction="sum" dataDxfId="235" totalsRowDxfId="234"/>
    <tableColumn id="5" xr3:uid="{00000000-0010-0000-0D00-000005000000}" name="All causes excess" totalsRowFunction="custom" dataDxfId="233" totalsRowDxfId="232">
      <calculatedColumnFormula>weekly_deaths_location_cause_and_excess_deaths[[#This Row],[All causes]]-weekly_deaths_location_cause_and_excess_deaths[[#This Row],[All causes five year average]]</calculatedColumnFormula>
      <totalsRowFormula>SUBTOTAL(109,weekly_deaths_location_cause_and_excess_deaths[All causes five year average])</totalsRowFormula>
    </tableColumn>
    <tableColumn id="6" xr3:uid="{00000000-0010-0000-0D00-000006000000}" name="Cancer deaths" totalsRowFunction="custom" dataDxfId="231" totalsRowDxfId="230">
      <totalsRowFormula>SUBTOTAL(109,weekly_deaths_location_cause_and_excess_deaths[All causes excess])</totalsRowFormula>
    </tableColumn>
    <tableColumn id="7" xr3:uid="{00000000-0010-0000-0D00-000007000000}" name="Cancer five year average" totalsRowFunction="custom" dataDxfId="229" totalsRowDxfId="228">
      <totalsRowFormula>SUBTOTAL(109,weekly_deaths_location_cause_and_excess_deaths[All causes excess])</totalsRowFormula>
    </tableColumn>
    <tableColumn id="8" xr3:uid="{00000000-0010-0000-0D00-000008000000}" name="Cancer excess" totalsRowFunction="custom" dataDxfId="227" totalsRowDxfId="226">
      <calculatedColumnFormula>weekly_deaths_location_cause_and_excess_deaths[[#This Row],[Cancer deaths]]-weekly_deaths_location_cause_and_excess_deaths[[#This Row],[Cancer five year average]]</calculatedColumnFormula>
      <totalsRowFormula>SUBTOTAL(109,weekly_deaths_location_cause_and_excess_deaths[Cancer deaths])</totalsRowFormula>
    </tableColumn>
    <tableColumn id="9" xr3:uid="{00000000-0010-0000-0D00-000009000000}" name="Dementia / Alzhemier's deaths" totalsRowFunction="custom" dataDxfId="225" totalsRowDxfId="224">
      <totalsRowFormula>SUBTOTAL(109,weekly_deaths_location_cause_and_excess_deaths[All causes five year average])</totalsRowFormula>
    </tableColumn>
    <tableColumn id="10" xr3:uid="{00000000-0010-0000-0D00-00000A000000}" name="Dementia / Alzheimer's five year average" totalsRowFunction="custom" dataDxfId="223" totalsRowDxfId="222">
      <totalsRowFormula>SUBTOTAL(109,weekly_deaths_location_cause_and_excess_deaths[All causes excess])</totalsRowFormula>
    </tableColumn>
    <tableColumn id="11" xr3:uid="{00000000-0010-0000-0D00-00000B000000}" name="Dementia / Alzheimer's _x000a_excess" totalsRowFunction="custom" dataDxfId="221" totalsRowDxfId="220">
      <calculatedColumnFormula>weekly_deaths_location_cause_and_excess_deaths[[#This Row],[Dementia / Alzhemier''s deaths]]-weekly_deaths_location_cause_and_excess_deaths[[#This Row],[Dementia / Alzheimer''s five year average]]</calculatedColumnFormula>
      <totalsRowFormula>SUBTOTAL(109,weekly_deaths_location_cause_and_excess_deaths[All causes excess])</totalsRowFormula>
    </tableColumn>
    <tableColumn id="25" xr3:uid="{00000000-0010-0000-0D00-000019000000}" name="Circulatory deaths" totalsRowFunction="custom" dataDxfId="219" totalsRowDxfId="218">
      <totalsRowFormula>SUBTOTAL(109,weekly_deaths_location_cause_and_excess_deaths[Cancer deaths])</totalsRowFormula>
    </tableColumn>
    <tableColumn id="26" xr3:uid="{00000000-0010-0000-0D00-00001A000000}" name="Circulatory five year average" totalsRowFunction="custom" dataDxfId="217" totalsRowDxfId="216">
      <totalsRowFormula>SUBTOTAL(109,weekly_deaths_location_cause_and_excess_deaths[Cancer deaths])</totalsRowFormula>
    </tableColumn>
    <tableColumn id="12" xr3:uid="{00000000-0010-0000-0D00-00000C000000}" name="Circulatory excess" totalsRowFunction="custom" dataDxfId="215" totalsRowDxfId="214">
      <calculatedColumnFormula>weekly_deaths_location_cause_and_excess_deaths[[#This Row],[Circulatory deaths]]-weekly_deaths_location_cause_and_excess_deaths[[#This Row],[Circulatory five year average]]</calculatedColumnFormula>
      <totalsRowFormula>SUBTOTAL(109,weekly_deaths_location_cause_and_excess_deaths[Cancer five year average])</totalsRowFormula>
    </tableColumn>
    <tableColumn id="13" xr3:uid="{00000000-0010-0000-0D00-00000D000000}" name="Respiratory deaths" totalsRowFunction="custom" dataDxfId="213" totalsRowDxfId="212">
      <totalsRowFormula>SUBTOTAL(109,weekly_deaths_location_cause_and_excess_deaths[All causes excess])</totalsRowFormula>
    </tableColumn>
    <tableColumn id="14" xr3:uid="{00000000-0010-0000-0D00-00000E000000}" name="Respiratory five year average" totalsRowFunction="custom" dataDxfId="211" totalsRowDxfId="210">
      <totalsRowFormula>SUBTOTAL(109,weekly_deaths_location_cause_and_excess_deaths[Cancer deaths])</totalsRowFormula>
    </tableColumn>
    <tableColumn id="15" xr3:uid="{00000000-0010-0000-0D00-00000F000000}" name="Respiratory_x000a_excess" totalsRowFunction="custom" dataDxfId="209" totalsRowDxfId="208">
      <calculatedColumnFormula>weekly_deaths_location_cause_and_excess_deaths[[#This Row],[Respiratory deaths]]-weekly_deaths_location_cause_and_excess_deaths[[#This Row],[Respiratory five year average]]</calculatedColumnFormula>
      <totalsRowFormula>SUBTOTAL(109,weekly_deaths_location_cause_and_excess_deaths[Cancer deaths])</totalsRowFormula>
    </tableColumn>
    <tableColumn id="16" xr3:uid="{00000000-0010-0000-0D00-000010000000}" name="COVID-19 deaths" totalsRowFunction="custom" dataDxfId="207" totalsRowDxfId="206">
      <totalsRowFormula>SUBTOTAL(109,weekly_deaths_location_cause_and_excess_deaths[Cancer five year average])</totalsRowFormula>
    </tableColumn>
    <tableColumn id="17" xr3:uid="{00000000-0010-0000-0D00-000011000000}" name="Other causes" totalsRowFunction="custom" dataDxfId="205" totalsRowDxfId="204">
      <totalsRowFormula>SUBTOTAL(109,weekly_deaths_location_cause_and_excess_deaths[Cancer five year average])</totalsRowFormula>
    </tableColumn>
    <tableColumn id="18" xr3:uid="{00000000-0010-0000-0D00-000012000000}" name="Other causes five year average" totalsRowFunction="custom" dataDxfId="203" totalsRowDxfId="202">
      <totalsRowFormula>SUBTOTAL(109,weekly_deaths_location_cause_and_excess_deaths[Cancer excess])</totalsRowFormula>
    </tableColumn>
    <tableColumn id="19" xr3:uid="{00000000-0010-0000-0D00-000013000000}" name="Other causes_x000a_excess" totalsRowFunction="custom" dataDxfId="201" totalsRowDxfId="200">
      <calculatedColumnFormula>weekly_deaths_location_cause_and_excess_deaths[[#This Row],[Other causes]]-weekly_deaths_location_cause_and_excess_deaths[[#This Row],[Other causes five year average]]</calculatedColumnFormula>
      <totalsRowFormula>SUBTOTAL(109,weekly_deaths_location_cause_and_excess_deaths[Cancer deaths])</totalsRow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E000000}" name="weekly_deaths_location_cause_and_excess_deaths_care_homes" displayName="weekly_deaths_location_cause_and_excess_deaths_care_homes" ref="A63:V117" totalsRowCount="1" headerRowDxfId="199" dataDxfId="197" totalsRowDxfId="195" headerRowBorderDxfId="198" tableBorderDxfId="196" totalsRowBorderDxfId="194">
  <autoFilter ref="A63:V116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xr3:uid="{00000000-0010-0000-0E00-000018000000}" name="Registration year" totalsRowLabel="Total" dataDxfId="193" totalsRowDxfId="192"/>
    <tableColumn id="1" xr3:uid="{00000000-0010-0000-0E00-000001000000}" name="Week number" totalsRowLabel="Total" dataDxfId="191" totalsRowDxfId="190"/>
    <tableColumn id="2" xr3:uid="{00000000-0010-0000-0E00-000002000000}" name="Week ended" totalsRowLabel="Total" dataDxfId="189" totalsRowDxfId="188"/>
    <tableColumn id="3" xr3:uid="{00000000-0010-0000-0E00-000003000000}" name="All causes" totalsRowFunction="sum" dataDxfId="187" totalsRowDxfId="186"/>
    <tableColumn id="4" xr3:uid="{00000000-0010-0000-0E00-000004000000}" name="All causes five year average" totalsRowFunction="sum" dataDxfId="185" totalsRowDxfId="184"/>
    <tableColumn id="5" xr3:uid="{00000000-0010-0000-0E00-000005000000}" name="All causes excess" totalsRowFunction="custom" dataDxfId="183" totalsRowDxfId="182">
      <calculatedColumnFormula>weekly_deaths_location_cause_and_excess_deaths_care_homes[[#This Row],[All causes]]-weekly_deaths_location_cause_and_excess_deaths_care_homes[[#This Row],[All causes five year average]]</calculatedColumnFormula>
      <totalsRowFormula>SUBTOTAL(109,weekly_deaths_location_cause_and_excess_deaths_care_homes[All causes five year average])</totalsRowFormula>
    </tableColumn>
    <tableColumn id="6" xr3:uid="{00000000-0010-0000-0E00-000006000000}" name="Cancer deaths" totalsRowFunction="custom" dataDxfId="181" totalsRowDxfId="180">
      <totalsRowFormula>SUBTOTAL(109,weekly_deaths_location_cause_and_excess_deaths_care_homes[All causes excess])</totalsRowFormula>
    </tableColumn>
    <tableColumn id="7" xr3:uid="{00000000-0010-0000-0E00-000007000000}" name="Cancer five year average" totalsRowFunction="custom" dataDxfId="179" totalsRowDxfId="178">
      <totalsRowFormula>SUBTOTAL(109,weekly_deaths_location_cause_and_excess_deaths_care_homes[All causes excess])</totalsRowFormula>
    </tableColumn>
    <tableColumn id="8" xr3:uid="{00000000-0010-0000-0E00-000008000000}" name="Cancer excess" totalsRowFunction="custom" dataDxfId="177" totalsRowDxfId="176">
      <calculatedColumnFormula>weekly_deaths_location_cause_and_excess_deaths_care_homes[[#This Row],[Cancer deaths]]-weekly_deaths_location_cause_and_excess_deaths_care_homes[[#This Row],[Cancer five year average]]</calculatedColumnFormula>
      <totalsRowFormula>SUBTOTAL(109,weekly_deaths_location_cause_and_excess_deaths_care_homes[Cancer deaths])</totalsRowFormula>
    </tableColumn>
    <tableColumn id="9" xr3:uid="{00000000-0010-0000-0E00-000009000000}" name="Dementia / Alzhemier's deaths" totalsRowFunction="custom" dataDxfId="175" totalsRowDxfId="174">
      <totalsRowFormula>SUBTOTAL(109,weekly_deaths_location_cause_and_excess_deaths_care_homes[Cancer deaths])</totalsRowFormula>
    </tableColumn>
    <tableColumn id="10" xr3:uid="{00000000-0010-0000-0E00-00000A000000}" name="Dementia / Alzheimer's five year average" totalsRowFunction="custom" dataDxfId="173" totalsRowDxfId="172">
      <totalsRowFormula>SUBTOTAL(109,weekly_deaths_location_cause_and_excess_deaths_care_homes[Cancer five year average])</totalsRowFormula>
    </tableColumn>
    <tableColumn id="11" xr3:uid="{00000000-0010-0000-0E00-00000B000000}" name="Dementia / Alzheimer's _x000a_excess" totalsRowFunction="custom" dataDxfId="171" totalsRowDxfId="170">
      <calculatedColumnFormula>weekly_deaths_location_cause_and_excess_deaths_care_homes[[#This Row],[Dementia / Alzhemier''s deaths]]-weekly_deaths_location_cause_and_excess_deaths_care_homes[[#This Row],[Dementia / Alzheimer''s five year average]]</calculatedColumnFormula>
      <totalsRowFormula>SUBTOTAL(109,weekly_deaths_location_cause_and_excess_deaths_care_homes[Cancer five year average])</totalsRowFormula>
    </tableColumn>
    <tableColumn id="25" xr3:uid="{00000000-0010-0000-0E00-000019000000}" name="Circulatory deaths" totalsRowFunction="custom" dataDxfId="169" totalsRowDxfId="168">
      <totalsRowFormula>SUBTOTAL(109,weekly_deaths_location_cause_and_excess_deaths_care_homes[Cancer excess])</totalsRowFormula>
    </tableColumn>
    <tableColumn id="26" xr3:uid="{00000000-0010-0000-0E00-00001A000000}" name="Circulatory five year average" totalsRowFunction="custom" dataDxfId="167" totalsRowDxfId="166">
      <totalsRowFormula>SUBTOTAL(109,weekly_deaths_location_cause_and_excess_deaths_care_homes[Cancer excess])</totalsRowFormula>
    </tableColumn>
    <tableColumn id="12" xr3:uid="{00000000-0010-0000-0E00-00000C000000}" name="Circulatory excess" totalsRowFunction="custom" dataDxfId="165" totalsRowDxfId="164">
      <calculatedColumnFormula>weekly_deaths_location_cause_and_excess_deaths_care_homes[[#This Row],[Circulatory deaths]]-weekly_deaths_location_cause_and_excess_deaths_care_homes[[#This Row],[Circulatory five year average]]</calculatedColumnFormula>
      <totalsRowFormula>SUBTOTAL(109,weekly_deaths_location_cause_and_excess_deaths_care_homes[Dementia / Alzhemier''s deaths])</totalsRowFormula>
    </tableColumn>
    <tableColumn id="13" xr3:uid="{00000000-0010-0000-0E00-00000D000000}" name="Respiratory deaths" totalsRowFunction="custom" dataDxfId="163" totalsRowDxfId="162">
      <totalsRowFormula>SUBTOTAL(109,weekly_deaths_location_cause_and_excess_deaths_care_homes[Dementia / Alzhemier''s deaths])</totalsRowFormula>
    </tableColumn>
    <tableColumn id="14" xr3:uid="{00000000-0010-0000-0E00-00000E000000}" name="Respiratory five year average" totalsRowFunction="custom" dataDxfId="161" totalsRowDxfId="160">
      <totalsRowFormula>SUBTOTAL(109,weekly_deaths_location_cause_and_excess_deaths_care_homes[Dementia / Alzheimer''s five year average])</totalsRowFormula>
    </tableColumn>
    <tableColumn id="15" xr3:uid="{00000000-0010-0000-0E00-00000F000000}" name="Respiratory_x000a_excess" totalsRowFunction="custom" dataDxfId="159" totalsRowDxfId="158">
      <calculatedColumnFormula>weekly_deaths_location_cause_and_excess_deaths_care_homes[[#This Row],[Respiratory deaths]]-weekly_deaths_location_cause_and_excess_deaths_care_homes[[#This Row],[Respiratory five year average]]</calculatedColumnFormula>
      <totalsRowFormula>SUBTOTAL(109,weekly_deaths_location_cause_and_excess_deaths_care_homes[Dementia / Alzheimer''s five year average])</totalsRowFormula>
    </tableColumn>
    <tableColumn id="16" xr3:uid="{00000000-0010-0000-0E00-000010000000}" name="COVID-19 deaths" totalsRowFunction="custom" dataDxfId="157" totalsRowDxfId="156">
      <totalsRowFormula>SUBTOTAL(109,weekly_deaths_location_cause_and_excess_deaths_care_homes[Dementia / Alzheimer''s 
excess])</totalsRowFormula>
    </tableColumn>
    <tableColumn id="17" xr3:uid="{00000000-0010-0000-0E00-000011000000}" name="Other causes" totalsRowFunction="custom" dataDxfId="155" totalsRowDxfId="154">
      <totalsRowFormula>SUBTOTAL(109,weekly_deaths_location_cause_and_excess_deaths_care_homes[Dementia / Alzheimer''s 
excess])</totalsRowFormula>
    </tableColumn>
    <tableColumn id="18" xr3:uid="{00000000-0010-0000-0E00-000012000000}" name="Other causes five year average" totalsRowFunction="custom" dataDxfId="153" totalsRowDxfId="152">
      <totalsRowFormula>SUBTOTAL(109,weekly_deaths_location_cause_and_excess_deaths_care_homes[Circulatory deaths])</totalsRowFormula>
    </tableColumn>
    <tableColumn id="19" xr3:uid="{00000000-0010-0000-0E00-000013000000}" name="Other causes_x000a_excess" totalsRowFunction="custom" dataDxfId="151" totalsRowDxfId="150">
      <calculatedColumnFormula>weekly_deaths_location_cause_and_excess_deaths_care_homes[[#This Row],[Other causes]]-weekly_deaths_location_cause_and_excess_deaths_care_homes[[#This Row],[Other causes five year average]]</calculatedColumnFormula>
      <totalsRowFormula>SUBTOTAL(109,weekly_deaths_location_cause_and_excess_deaths_care_homes[Circulatory deaths])</totalsRow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F000000}" name="weekly_deaths_location_cause_and_excess_deaths_home_non_institution" displayName="weekly_deaths_location_cause_and_excess_deaths_home_non_institution" ref="A120:V174" totalsRowCount="1" headerRowDxfId="149" dataDxfId="147" totalsRowDxfId="145" headerRowBorderDxfId="148" tableBorderDxfId="146" totalsRowBorderDxfId="144">
  <autoFilter ref="A120:V173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xr3:uid="{00000000-0010-0000-0F00-000018000000}" name="Registration year" totalsRowLabel="Total" dataDxfId="143" totalsRowDxfId="142"/>
    <tableColumn id="1" xr3:uid="{00000000-0010-0000-0F00-000001000000}" name="Week number" totalsRowLabel="Total" dataDxfId="141" totalsRowDxfId="140"/>
    <tableColumn id="2" xr3:uid="{00000000-0010-0000-0F00-000002000000}" name="Week ended" totalsRowLabel="Total" dataDxfId="139" totalsRowDxfId="138"/>
    <tableColumn id="3" xr3:uid="{00000000-0010-0000-0F00-000003000000}" name="All causes" totalsRowFunction="sum" dataDxfId="137" totalsRowDxfId="136"/>
    <tableColumn id="4" xr3:uid="{00000000-0010-0000-0F00-000004000000}" name="All causes five year average" totalsRowFunction="sum" dataDxfId="135" totalsRowDxfId="134"/>
    <tableColumn id="5" xr3:uid="{00000000-0010-0000-0F00-000005000000}" name="All causes excess" totalsRowFunction="sum" dataDxfId="133" totalsRowDxfId="132">
      <calculatedColumnFormula>weekly_deaths_location_cause_and_excess_deaths_home_non_institution[[#This Row],[All causes]]-weekly_deaths_location_cause_and_excess_deaths_home_non_institution[[#This Row],[All causes five year average]]</calculatedColumnFormula>
    </tableColumn>
    <tableColumn id="6" xr3:uid="{00000000-0010-0000-0F00-000006000000}" name="Cancer deaths" totalsRowFunction="sum" dataDxfId="131" totalsRowDxfId="130"/>
    <tableColumn id="7" xr3:uid="{00000000-0010-0000-0F00-000007000000}" name="Cancer five year average" totalsRowFunction="custom" dataDxfId="129" totalsRowDxfId="128">
      <totalsRowFormula>SUBTOTAL(109,weekly_deaths_location_cause_and_excess_deaths_home_non_institution[All causes five year average])</totalsRowFormula>
    </tableColumn>
    <tableColumn id="8" xr3:uid="{00000000-0010-0000-0F00-000008000000}" name="Cancer excess" totalsRowFunction="custom" dataDxfId="127" totalsRowDxfId="126">
      <calculatedColumnFormula>weekly_deaths_location_cause_and_excess_deaths_home_non_institution[[#This Row],[Cancer deaths]]-weekly_deaths_location_cause_and_excess_deaths_home_non_institution[[#This Row],[Cancer five year average]]</calculatedColumnFormula>
      <totalsRowFormula>SUBTOTAL(109,weekly_deaths_location_cause_and_excess_deaths_home_non_institution[All causes excess])</totalsRowFormula>
    </tableColumn>
    <tableColumn id="9" xr3:uid="{00000000-0010-0000-0F00-000009000000}" name="Dementia / Alzhemier's deaths" totalsRowFunction="custom" dataDxfId="125" totalsRowDxfId="124">
      <totalsRowFormula>SUBTOTAL(109,weekly_deaths_location_cause_and_excess_deaths_home_non_institution[Cancer deaths])</totalsRowFormula>
    </tableColumn>
    <tableColumn id="10" xr3:uid="{00000000-0010-0000-0F00-00000A000000}" name="Dementia / Alzheimer's five year average" totalsRowFunction="custom" dataDxfId="123" totalsRowDxfId="122">
      <totalsRowFormula>SUBTOTAL(109,weekly_deaths_location_cause_and_excess_deaths_home_non_institution[Cancer five year average])</totalsRowFormula>
    </tableColumn>
    <tableColumn id="11" xr3:uid="{00000000-0010-0000-0F00-00000B000000}" name="Dementia / Alzheimer's _x000a_excess" totalsRowFunction="custom" dataDxfId="121" totalsRowDxfId="120">
      <calculatedColumnFormula>weekly_deaths_location_cause_and_excess_deaths_home_non_institution[[#This Row],[Dementia / Alzhemier''s deaths]]-weekly_deaths_location_cause_and_excess_deaths_home_non_institution[[#This Row],[Dementia / Alzheimer''s five year average]]</calculatedColumnFormula>
      <totalsRowFormula>SUBTOTAL(109,weekly_deaths_location_cause_and_excess_deaths_home_non_institution[All causes excess])</totalsRowFormula>
    </tableColumn>
    <tableColumn id="25" xr3:uid="{00000000-0010-0000-0F00-000019000000}" name="Circulatory deaths" totalsRowFunction="custom" dataDxfId="119" totalsRowDxfId="118">
      <totalsRowFormula>SUBTOTAL(109,weekly_deaths_location_cause_and_excess_deaths_home_non_institution[Cancer deaths])</totalsRowFormula>
    </tableColumn>
    <tableColumn id="26" xr3:uid="{00000000-0010-0000-0F00-00001A000000}" name="Circulatory five year average" totalsRowFunction="custom" dataDxfId="117" totalsRowDxfId="116">
      <totalsRowFormula>SUBTOTAL(109,weekly_deaths_location_cause_and_excess_deaths_home_non_institution[Cancer five year average])</totalsRowFormula>
    </tableColumn>
    <tableColumn id="12" xr3:uid="{00000000-0010-0000-0F00-00000C000000}" name="Circulatory excess" totalsRowFunction="custom" dataDxfId="115" totalsRowDxfId="114">
      <calculatedColumnFormula>weekly_deaths_location_cause_and_excess_deaths_home_non_institution[[#This Row],[Circulatory deaths]]-weekly_deaths_location_cause_and_excess_deaths_home_non_institution[[#This Row],[Circulatory five year average]]</calculatedColumnFormula>
      <totalsRowFormula>SUBTOTAL(109,weekly_deaths_location_cause_and_excess_deaths_home_non_institution[Cancer excess])</totalsRowFormula>
    </tableColumn>
    <tableColumn id="13" xr3:uid="{00000000-0010-0000-0F00-00000D000000}" name="Respiratory deaths" totalsRowFunction="custom" dataDxfId="113" totalsRowDxfId="112">
      <totalsRowFormula>SUBTOTAL(109,weekly_deaths_location_cause_and_excess_deaths_home_non_institution[Cancer deaths])</totalsRowFormula>
    </tableColumn>
    <tableColumn id="14" xr3:uid="{00000000-0010-0000-0F00-00000E000000}" name="Respiratory five year average" totalsRowFunction="custom" dataDxfId="111" totalsRowDxfId="110">
      <totalsRowFormula>SUBTOTAL(109,weekly_deaths_location_cause_and_excess_deaths_home_non_institution[Cancer five year average])</totalsRowFormula>
    </tableColumn>
    <tableColumn id="15" xr3:uid="{00000000-0010-0000-0F00-00000F000000}" name="Respiratory_x000a_excess" totalsRowFunction="custom" dataDxfId="109" totalsRowDxfId="108">
      <calculatedColumnFormula>weekly_deaths_location_cause_and_excess_deaths_home_non_institution[[#This Row],[Respiratory deaths]]-weekly_deaths_location_cause_and_excess_deaths_home_non_institution[[#This Row],[Respiratory five year average]]</calculatedColumnFormula>
      <totalsRowFormula>SUBTOTAL(109,weekly_deaths_location_cause_and_excess_deaths_home_non_institution[Cancer excess])</totalsRowFormula>
    </tableColumn>
    <tableColumn id="16" xr3:uid="{00000000-0010-0000-0F00-000010000000}" name="COVID-19 deaths" totalsRowFunction="custom" dataDxfId="107" totalsRowDxfId="106">
      <totalsRowFormula>SUBTOTAL(109,weekly_deaths_location_cause_and_excess_deaths_home_non_institution[Dementia / Alzhemier''s deaths])</totalsRowFormula>
    </tableColumn>
    <tableColumn id="17" xr3:uid="{00000000-0010-0000-0F00-000011000000}" name="Other causes" totalsRowFunction="custom" dataDxfId="105" totalsRowDxfId="104">
      <totalsRowFormula>SUBTOTAL(109,weekly_deaths_location_cause_and_excess_deaths_home_non_institution[Cancer five year average])</totalsRowFormula>
    </tableColumn>
    <tableColumn id="18" xr3:uid="{00000000-0010-0000-0F00-000012000000}" name="Other causes five year average" totalsRowFunction="custom" dataDxfId="103" totalsRowDxfId="102">
      <totalsRowFormula>SUBTOTAL(109,weekly_deaths_location_cause_and_excess_deaths_home_non_institution[Cancer excess])</totalsRowFormula>
    </tableColumn>
    <tableColumn id="19" xr3:uid="{00000000-0010-0000-0F00-000013000000}" name="Other causes_x000a_excess" totalsRowFunction="custom" dataDxfId="101" totalsRowDxfId="100">
      <calculatedColumnFormula>weekly_deaths_location_cause_and_excess_deaths_home_non_institution[[#This Row],[Other causes]]-weekly_deaths_location_cause_and_excess_deaths_home_non_institution[[#This Row],[Other causes five year average]]</calculatedColumnFormula>
      <totalsRowFormula>SUBTOTAL(109,weekly_deaths_location_cause_and_excess_deaths_home_non_institution[Dementia / Alzhemier''s deaths])</totalsRow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0000000}" name="weekly_deaths_location_cause_and_excess_deaths_hospital" displayName="weekly_deaths_location_cause_and_excess_deaths_hospital" ref="A177:V231" totalsRowCount="1" headerRowDxfId="99" dataDxfId="97" totalsRowDxfId="95" headerRowBorderDxfId="98" tableBorderDxfId="96" totalsRowBorderDxfId="94">
  <autoFilter ref="A177:V230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xr3:uid="{00000000-0010-0000-1000-000018000000}" name="Registration year" totalsRowLabel="Total" dataDxfId="93" totalsRowDxfId="92"/>
    <tableColumn id="1" xr3:uid="{00000000-0010-0000-1000-000001000000}" name="Week number" totalsRowLabel="Total" dataDxfId="91" totalsRowDxfId="90"/>
    <tableColumn id="2" xr3:uid="{00000000-0010-0000-1000-000002000000}" name="Week ended" totalsRowLabel="Total" dataDxfId="89" totalsRowDxfId="88"/>
    <tableColumn id="3" xr3:uid="{00000000-0010-0000-1000-000003000000}" name="All causes" totalsRowFunction="sum" dataDxfId="87" totalsRowDxfId="86"/>
    <tableColumn id="4" xr3:uid="{00000000-0010-0000-1000-000004000000}" name="All causes five year average" totalsRowFunction="sum" dataDxfId="85" totalsRowDxfId="84"/>
    <tableColumn id="5" xr3:uid="{00000000-0010-0000-1000-000005000000}" name="All causes excess" totalsRowFunction="sum" dataDxfId="83" totalsRowDxfId="82">
      <calculatedColumnFormula>weekly_deaths_location_cause_and_excess_deaths_hospital[[#This Row],[All causes]]-weekly_deaths_location_cause_and_excess_deaths_hospital[[#This Row],[All causes five year average]]</calculatedColumnFormula>
    </tableColumn>
    <tableColumn id="6" xr3:uid="{00000000-0010-0000-1000-000006000000}" name="Cancer deaths" totalsRowFunction="sum" dataDxfId="81" totalsRowDxfId="80"/>
    <tableColumn id="7" xr3:uid="{00000000-0010-0000-1000-000007000000}" name="Cancer five year average" totalsRowFunction="sum" dataDxfId="79" totalsRowDxfId="78"/>
    <tableColumn id="8" xr3:uid="{00000000-0010-0000-1000-000008000000}" name="Cancer excess" totalsRowFunction="sum" dataDxfId="77" totalsRowDxfId="76">
      <calculatedColumnFormula>weekly_deaths_location_cause_and_excess_deaths_hospital[[#This Row],[Cancer deaths]]-weekly_deaths_location_cause_and_excess_deaths_hospital[[#This Row],[Cancer five year average]]</calculatedColumnFormula>
    </tableColumn>
    <tableColumn id="9" xr3:uid="{00000000-0010-0000-1000-000009000000}" name="Dementia / Alzhemier's deaths" totalsRowFunction="sum" dataDxfId="75" totalsRowDxfId="74"/>
    <tableColumn id="10" xr3:uid="{00000000-0010-0000-1000-00000A000000}" name="Dementia / Alzheimer's five year average" totalsRowFunction="sum" dataDxfId="73" totalsRowDxfId="72"/>
    <tableColumn id="11" xr3:uid="{00000000-0010-0000-1000-00000B000000}" name="Dementia / Alzheimer's _x000a_excess" totalsRowFunction="sum" dataDxfId="71" totalsRowDxfId="70">
      <calculatedColumnFormula>weekly_deaths_location_cause_and_excess_deaths_hospital[[#This Row],[Dementia / Alzhemier''s deaths]]-weekly_deaths_location_cause_and_excess_deaths_hospital[[#This Row],[Dementia / Alzheimer''s five year average]]</calculatedColumnFormula>
    </tableColumn>
    <tableColumn id="25" xr3:uid="{00000000-0010-0000-1000-000019000000}" name="Circulatory deaths" totalsRowFunction="sum" dataDxfId="69" totalsRowDxfId="68"/>
    <tableColumn id="26" xr3:uid="{00000000-0010-0000-1000-00001A000000}" name="Circulatory five year average" totalsRowFunction="sum" dataDxfId="67" totalsRowDxfId="66"/>
    <tableColumn id="12" xr3:uid="{00000000-0010-0000-1000-00000C000000}" name="Circulatory excess" totalsRowFunction="sum" dataDxfId="65" totalsRowDxfId="64">
      <calculatedColumnFormula>weekly_deaths_location_cause_and_excess_deaths_hospital[[#This Row],[Circulatory deaths]]-weekly_deaths_location_cause_and_excess_deaths_hospital[[#This Row],[Circulatory five year average]]</calculatedColumnFormula>
    </tableColumn>
    <tableColumn id="13" xr3:uid="{00000000-0010-0000-1000-00000D000000}" name="Respiratory deaths" totalsRowFunction="sum" dataDxfId="63" totalsRowDxfId="62"/>
    <tableColumn id="14" xr3:uid="{00000000-0010-0000-1000-00000E000000}" name="Respiratory five year average" totalsRowFunction="sum" dataDxfId="61" totalsRowDxfId="60"/>
    <tableColumn id="15" xr3:uid="{00000000-0010-0000-1000-00000F000000}" name="Respiratory_x000a_excess" totalsRowFunction="custom" dataDxfId="59" totalsRowDxfId="58">
      <calculatedColumnFormula>weekly_deaths_location_cause_and_excess_deaths_hospital[[#This Row],[Respiratory deaths]]-weekly_deaths_location_cause_and_excess_deaths_hospital[[#This Row],[Respiratory five year average]]</calculatedColumnFormula>
      <totalsRowFormula>SUBTOTAL(109,weekly_deaths_location_cause_and_excess_deaths_hospital[All causes five year average])</totalsRowFormula>
    </tableColumn>
    <tableColumn id="16" xr3:uid="{00000000-0010-0000-1000-000010000000}" name="COVID-19 deaths" totalsRowFunction="custom" dataDxfId="57" totalsRowDxfId="56">
      <totalsRowFormula>SUBTOTAL(109,weekly_deaths_location_cause_and_excess_deaths_hospital[All causes excess])</totalsRowFormula>
    </tableColumn>
    <tableColumn id="17" xr3:uid="{00000000-0010-0000-1000-000011000000}" name="Other causes" totalsRowFunction="custom" dataDxfId="55" totalsRowDxfId="54">
      <totalsRowFormula>SUBTOTAL(109,weekly_deaths_location_cause_and_excess_deaths_hospital[Cancer deaths])</totalsRowFormula>
    </tableColumn>
    <tableColumn id="18" xr3:uid="{00000000-0010-0000-1000-000012000000}" name="Other causes five year average" totalsRowFunction="custom" dataDxfId="53" totalsRowDxfId="52">
      <totalsRowFormula>SUBTOTAL(109,weekly_deaths_location_cause_and_excess_deaths_hospital[Cancer five year average])</totalsRowFormula>
    </tableColumn>
    <tableColumn id="19" xr3:uid="{00000000-0010-0000-1000-000013000000}" name="Other causes_x000a_excess" totalsRowFunction="custom" dataDxfId="51" totalsRowDxfId="50">
      <calculatedColumnFormula>weekly_deaths_location_cause_and_excess_deaths_hospital[[#This Row],[Other causes]]-weekly_deaths_location_cause_and_excess_deaths_hospital[[#This Row],[Other causes five year average]]</calculatedColumnFormula>
      <totalsRowFormula>SUBTOTAL(109,weekly_deaths_location_cause_and_excess_deaths_hospital[Cancer excess])</totalsRow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1000000}" name="weekly_deaths_location_cause_and_excess_deaths_other_institution" displayName="weekly_deaths_location_cause_and_excess_deaths_other_institution" ref="A234:V288" totalsRowCount="1" headerRowDxfId="49" dataDxfId="47" totalsRowDxfId="45" headerRowBorderDxfId="48" tableBorderDxfId="46" totalsRowBorderDxfId="44">
  <autoFilter ref="A234:V287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xr3:uid="{00000000-0010-0000-1100-000018000000}" name="Registration year" totalsRowLabel="Total" dataDxfId="43" totalsRowDxfId="42"/>
    <tableColumn id="1" xr3:uid="{00000000-0010-0000-1100-000001000000}" name="Week number" totalsRowLabel="Total" dataDxfId="41" totalsRowDxfId="40"/>
    <tableColumn id="2" xr3:uid="{00000000-0010-0000-1100-000002000000}" name="Week ended" totalsRowLabel="Total" dataDxfId="39" totalsRowDxfId="38"/>
    <tableColumn id="3" xr3:uid="{00000000-0010-0000-1100-000003000000}" name="All causes" totalsRowFunction="sum" dataDxfId="37" totalsRowDxfId="36"/>
    <tableColumn id="4" xr3:uid="{00000000-0010-0000-1100-000004000000}" name="All causes five year average" totalsRowFunction="sum" dataDxfId="35" totalsRowDxfId="34"/>
    <tableColumn id="5" xr3:uid="{00000000-0010-0000-1100-000005000000}" name="All causes excess" totalsRowFunction="sum" dataDxfId="33" totalsRowDxfId="32">
      <calculatedColumnFormula>weekly_deaths_location_cause_and_excess_deaths_other_institution[[#This Row],[All causes]]-weekly_deaths_location_cause_and_excess_deaths_other_institution[[#This Row],[All causes five year average]]</calculatedColumnFormula>
    </tableColumn>
    <tableColumn id="6" xr3:uid="{00000000-0010-0000-1100-000006000000}" name="Cancer deaths" totalsRowFunction="custom" dataDxfId="31" totalsRowDxfId="30">
      <totalsRowFormula>SUBTOTAL(109,weekly_deaths_location_cause_and_excess_deaths_other_institution[All causes five year average])</totalsRowFormula>
    </tableColumn>
    <tableColumn id="7" xr3:uid="{00000000-0010-0000-1100-000007000000}" name="Cancer five year average" totalsRowFunction="custom" dataDxfId="29" totalsRowDxfId="28">
      <totalsRowFormula>SUBTOTAL(109,weekly_deaths_location_cause_and_excess_deaths_other_institution[All causes excess])</totalsRowFormula>
    </tableColumn>
    <tableColumn id="8" xr3:uid="{00000000-0010-0000-1100-000008000000}" name="Cancer excess" totalsRowFunction="custom" dataDxfId="27" totalsRowDxfId="26">
      <calculatedColumnFormula>weekly_deaths_location_cause_and_excess_deaths_other_institution[[#This Row],[Cancer deaths]]-weekly_deaths_location_cause_and_excess_deaths_other_institution[[#This Row],[Cancer five year average]]</calculatedColumnFormula>
      <totalsRowFormula>SUBTOTAL(109,weekly_deaths_location_cause_and_excess_deaths_other_institution[Cancer deaths])</totalsRowFormula>
    </tableColumn>
    <tableColumn id="9" xr3:uid="{00000000-0010-0000-1100-000009000000}" name="Dementia / Alzhemier's deaths" totalsRowFunction="custom" dataDxfId="25" totalsRowDxfId="24">
      <totalsRowFormula>SUBTOTAL(109,weekly_deaths_location_cause_and_excess_deaths_other_institution[All causes excess])</totalsRowFormula>
    </tableColumn>
    <tableColumn id="10" xr3:uid="{00000000-0010-0000-1100-00000A000000}" name="Dementia / Alzheimer's five year average" totalsRowFunction="custom" dataDxfId="23" totalsRowDxfId="22">
      <totalsRowFormula>SUBTOTAL(109,weekly_deaths_location_cause_and_excess_deaths_other_institution[Cancer deaths])</totalsRowFormula>
    </tableColumn>
    <tableColumn id="11" xr3:uid="{00000000-0010-0000-1100-00000B000000}" name="Dementia / Alzheimer's _x000a_excess" totalsRowFunction="custom" dataDxfId="21" totalsRowDxfId="20">
      <calculatedColumnFormula>weekly_deaths_location_cause_and_excess_deaths_other_institution[[#This Row],[Dementia / Alzhemier''s deaths]]-weekly_deaths_location_cause_and_excess_deaths_other_institution[[#This Row],[Dementia / Alzheimer''s five year average]]</calculatedColumnFormula>
      <totalsRowFormula>SUBTOTAL(109,weekly_deaths_location_cause_and_excess_deaths_other_institution[Cancer five year average])</totalsRowFormula>
    </tableColumn>
    <tableColumn id="25" xr3:uid="{00000000-0010-0000-1100-000019000000}" name="Circulatory deaths" totalsRowFunction="custom" dataDxfId="19" totalsRowDxfId="18">
      <totalsRowFormula>SUBTOTAL(109,weekly_deaths_location_cause_and_excess_deaths_other_institution[Cancer deaths])</totalsRowFormula>
    </tableColumn>
    <tableColumn id="26" xr3:uid="{00000000-0010-0000-1100-00001A000000}" name="Circulatory five year average" totalsRowFunction="custom" dataDxfId="17" totalsRowDxfId="16">
      <totalsRowFormula>SUBTOTAL(109,weekly_deaths_location_cause_and_excess_deaths_other_institution[All causes five year average])</totalsRowFormula>
    </tableColumn>
    <tableColumn id="12" xr3:uid="{00000000-0010-0000-1100-00000C000000}" name="Circulatory excess" totalsRowFunction="custom" dataDxfId="15" totalsRowDxfId="14">
      <calculatedColumnFormula>weekly_deaths_location_cause_and_excess_deaths_other_institution[[#This Row],[Circulatory deaths]]-weekly_deaths_location_cause_and_excess_deaths_other_institution[[#This Row],[Circulatory five year average]]</calculatedColumnFormula>
      <totalsRowFormula>SUBTOTAL(109,weekly_deaths_location_cause_and_excess_deaths_other_institution[All causes excess])</totalsRowFormula>
    </tableColumn>
    <tableColumn id="13" xr3:uid="{00000000-0010-0000-1100-00000D000000}" name="Respiratory deaths" totalsRowFunction="custom" dataDxfId="13" totalsRowDxfId="12">
      <totalsRowFormula>SUBTOTAL(109,weekly_deaths_location_cause_and_excess_deaths_other_institution[Cancer deaths])</totalsRowFormula>
    </tableColumn>
    <tableColumn id="14" xr3:uid="{00000000-0010-0000-1100-00000E000000}" name="Respiratory five year average" totalsRowFunction="custom" dataDxfId="11" totalsRowDxfId="10">
      <totalsRowFormula>SUBTOTAL(109,weekly_deaths_location_cause_and_excess_deaths_other_institution[All causes excess])</totalsRowFormula>
    </tableColumn>
    <tableColumn id="15" xr3:uid="{00000000-0010-0000-1100-00000F000000}" name="Respiratory_x000a_excess" totalsRowFunction="custom" dataDxfId="9" totalsRowDxfId="8">
      <calculatedColumnFormula>weekly_deaths_location_cause_and_excess_deaths_other_institution[[#This Row],[Respiratory deaths]]-weekly_deaths_location_cause_and_excess_deaths_other_institution[[#This Row],[Respiratory five year average]]</calculatedColumnFormula>
      <totalsRowFormula>SUBTOTAL(109,weekly_deaths_location_cause_and_excess_deaths_other_institution[Cancer deaths])</totalsRowFormula>
    </tableColumn>
    <tableColumn id="16" xr3:uid="{00000000-0010-0000-1100-000010000000}" name="COVID-19 deaths" totalsRowFunction="custom" dataDxfId="7" totalsRowDxfId="6">
      <totalsRowFormula>SUBTOTAL(109,weekly_deaths_location_cause_and_excess_deaths_other_institution[Cancer five year average])</totalsRowFormula>
    </tableColumn>
    <tableColumn id="17" xr3:uid="{00000000-0010-0000-1100-000011000000}" name="Other causes" totalsRowFunction="custom" dataDxfId="5" totalsRowDxfId="4">
      <totalsRowFormula>SUBTOTAL(109,weekly_deaths_location_cause_and_excess_deaths_other_institution[Cancer deaths])</totalsRowFormula>
    </tableColumn>
    <tableColumn id="18" xr3:uid="{00000000-0010-0000-1100-000012000000}" name="Other causes five year average" totalsRowFunction="custom" dataDxfId="3" totalsRowDxfId="2">
      <totalsRowFormula>SUBTOTAL(109,weekly_deaths_location_cause_and_excess_deaths_other_institution[Cancer five year average])</totalsRowFormula>
    </tableColumn>
    <tableColumn id="19" xr3:uid="{00000000-0010-0000-1100-000013000000}" name="Other causes_x000a_excess" totalsRowFunction="custom" dataDxfId="1" totalsRowDxfId="0">
      <calculatedColumnFormula>weekly_deaths_location_cause_and_excess_deaths_other_institution[[#This Row],[Other causes]]-weekly_deaths_location_cause_and_excess_deaths_other_institution[[#This Row],[Other causes five year average]]</calculatedColumnFormula>
      <totalsRowFormula>SUBTOTAL(109,weekly_deaths_location_cause_and_excess_deaths_other_institution[Cancer excess])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Notes" displayName="Notes" ref="A5:D13" totalsRowShown="0" headerRowDxfId="596" dataDxfId="595">
  <autoFilter ref="A5:D13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Note number" dataDxfId="594"/>
    <tableColumn id="2" xr3:uid="{00000000-0010-0000-0100-000002000000}" name="Note text" dataDxfId="593"/>
    <tableColumn id="3" xr3:uid="{00000000-0010-0000-0100-000003000000}" name="Related tables" dataDxfId="592"/>
    <tableColumn id="4" xr3:uid="{00000000-0010-0000-0100-000004000000}" name="Link for more information" dataDxfId="591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weekly_covid_deaths_by_age_persons" displayName="weekly_covid_deaths_by_age_persons" ref="A6:K60" totalsRowCount="1" headerRowDxfId="590" dataDxfId="589" totalsRowDxfId="587" tableBorderDxfId="588">
  <autoFilter ref="A6:K5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200-000018000000}" name="Registration year" totalsRowLabel="Total" dataDxfId="586" totalsRowDxfId="585"/>
    <tableColumn id="1" xr3:uid="{00000000-0010-0000-0200-000001000000}" name="Week number" totalsRowLabel="Total" dataDxfId="584" totalsRowDxfId="583"/>
    <tableColumn id="2" xr3:uid="{00000000-0010-0000-0200-000002000000}" name="Week beginning" totalsRowLabel="Total" dataDxfId="582" totalsRowDxfId="581"/>
    <tableColumn id="3" xr3:uid="{00000000-0010-0000-0200-000003000000}" name="All ages" totalsRowFunction="sum" dataDxfId="580" totalsRowDxfId="579">
      <calculatedColumnFormula>SUM(weekly_covid_deaths_by_age_persons[[#This Row],[&lt;1]:[85+]])</calculatedColumnFormula>
    </tableColumn>
    <tableColumn id="4" xr3:uid="{00000000-0010-0000-0200-000004000000}" name="&lt;1" totalsRowFunction="sum" dataDxfId="578" totalsRowDxfId="577"/>
    <tableColumn id="5" xr3:uid="{00000000-0010-0000-0200-000005000000}" name="1-14" totalsRowFunction="sum" dataDxfId="576" totalsRowDxfId="575"/>
    <tableColumn id="6" xr3:uid="{00000000-0010-0000-0200-000006000000}" name="15-44" totalsRowFunction="sum" dataDxfId="574" totalsRowDxfId="573"/>
    <tableColumn id="7" xr3:uid="{00000000-0010-0000-0200-000007000000}" name="45-64" totalsRowFunction="sum" dataDxfId="572" totalsRowDxfId="571"/>
    <tableColumn id="8" xr3:uid="{00000000-0010-0000-0200-000008000000}" name="65-74" totalsRowFunction="sum" dataDxfId="570" totalsRowDxfId="569"/>
    <tableColumn id="9" xr3:uid="{00000000-0010-0000-0200-000009000000}" name="75-84" totalsRowFunction="sum" dataDxfId="568" totalsRowDxfId="567"/>
    <tableColumn id="10" xr3:uid="{00000000-0010-0000-0200-00000A000000}" name="85+" totalsRowFunction="sum" dataDxfId="566" totalsRowDxfId="565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weekly_covid_deaths_by_age_females" displayName="weekly_covid_deaths_by_age_females" ref="A63:K117" totalsRowCount="1" headerRowDxfId="564" dataDxfId="563" tableBorderDxfId="562">
  <autoFilter ref="A63:K11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300-000018000000}" name="Registration year" totalsRowLabel="Total" dataDxfId="561" totalsRowDxfId="560"/>
    <tableColumn id="1" xr3:uid="{00000000-0010-0000-0300-000001000000}" name="Week number" totalsRowLabel="Total" dataDxfId="559" totalsRowDxfId="558"/>
    <tableColumn id="2" xr3:uid="{00000000-0010-0000-0300-000002000000}" name="Week beginning" totalsRowLabel="Total" dataDxfId="557" totalsRowDxfId="556"/>
    <tableColumn id="3" xr3:uid="{00000000-0010-0000-0300-000003000000}" name="All ages" totalsRowFunction="sum" dataDxfId="555" totalsRowDxfId="554">
      <calculatedColumnFormula>SUM(weekly_covid_deaths_by_age_females[[#This Row],[&lt;1]:[85+]])</calculatedColumnFormula>
    </tableColumn>
    <tableColumn id="4" xr3:uid="{00000000-0010-0000-0300-000004000000}" name="&lt;1" totalsRowFunction="sum" dataDxfId="553" totalsRowDxfId="552"/>
    <tableColumn id="5" xr3:uid="{00000000-0010-0000-0300-000005000000}" name="1-14" totalsRowFunction="sum" dataDxfId="551" totalsRowDxfId="550"/>
    <tableColumn id="6" xr3:uid="{00000000-0010-0000-0300-000006000000}" name="15-44" totalsRowFunction="sum" dataDxfId="549" totalsRowDxfId="548"/>
    <tableColumn id="7" xr3:uid="{00000000-0010-0000-0300-000007000000}" name="45-64" totalsRowFunction="sum" dataDxfId="547" totalsRowDxfId="546"/>
    <tableColumn id="8" xr3:uid="{00000000-0010-0000-0300-000008000000}" name="65-74" totalsRowFunction="sum" dataDxfId="545" totalsRowDxfId="544"/>
    <tableColumn id="9" xr3:uid="{00000000-0010-0000-0300-000009000000}" name="75-84" totalsRowFunction="sum" dataDxfId="543" totalsRowDxfId="542"/>
    <tableColumn id="10" xr3:uid="{00000000-0010-0000-0300-00000A000000}" name="85+" totalsRowFunction="sum" dataDxfId="541" totalsRowDxfId="540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weekly_covid_deaths_by_age_males" displayName="weekly_covid_deaths_by_age_males" ref="A120:K174" totalsRowCount="1" headerRowDxfId="539" dataDxfId="537" headerRowBorderDxfId="538" tableBorderDxfId="536">
  <autoFilter ref="A120:K173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400-000018000000}" name="Registration year" totalsRowLabel="Total" dataDxfId="535" totalsRowDxfId="534"/>
    <tableColumn id="1" xr3:uid="{00000000-0010-0000-0400-000001000000}" name="Week number" totalsRowLabel="Total" dataDxfId="533" totalsRowDxfId="532"/>
    <tableColumn id="2" xr3:uid="{00000000-0010-0000-0400-000002000000}" name="Week beginning" totalsRowLabel="Total" dataDxfId="531" totalsRowDxfId="530"/>
    <tableColumn id="3" xr3:uid="{00000000-0010-0000-0400-000003000000}" name="All ages" totalsRowFunction="sum" dataDxfId="529" totalsRowDxfId="528">
      <calculatedColumnFormula>SUM(weekly_covid_deaths_by_age_males[[#This Row],[&lt;1]:[85+]])</calculatedColumnFormula>
    </tableColumn>
    <tableColumn id="4" xr3:uid="{00000000-0010-0000-0400-000004000000}" name="&lt;1" totalsRowFunction="sum" dataDxfId="527" totalsRowDxfId="526"/>
    <tableColumn id="5" xr3:uid="{00000000-0010-0000-0400-000005000000}" name="1-14" totalsRowFunction="sum" dataDxfId="525" totalsRowDxfId="524"/>
    <tableColumn id="6" xr3:uid="{00000000-0010-0000-0400-000006000000}" name="15-44" totalsRowFunction="sum" dataDxfId="523" totalsRowDxfId="522"/>
    <tableColumn id="7" xr3:uid="{00000000-0010-0000-0400-000007000000}" name="45-64" totalsRowFunction="sum" dataDxfId="521" totalsRowDxfId="520"/>
    <tableColumn id="8" xr3:uid="{00000000-0010-0000-0400-000008000000}" name="65-74" totalsRowFunction="sum" dataDxfId="519" totalsRowDxfId="518"/>
    <tableColumn id="9" xr3:uid="{00000000-0010-0000-0400-000009000000}" name="75-84" totalsRowFunction="sum" dataDxfId="517" totalsRowDxfId="516"/>
    <tableColumn id="10" xr3:uid="{00000000-0010-0000-0400-00000A000000}" name="85+" totalsRowFunction="sum" dataDxfId="515" totalsRowDxfId="514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weekly_covid_deaths_health_board" displayName="weekly_covid_deaths_health_board" ref="A5:R58" totalsRowShown="0" headerRowDxfId="513" dataDxfId="511" headerRowBorderDxfId="512" tableBorderDxfId="510">
  <autoFilter ref="A5:R5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24" xr3:uid="{00000000-0010-0000-0500-000018000000}" name="Registration year" dataDxfId="509"/>
    <tableColumn id="1" xr3:uid="{00000000-0010-0000-0500-000001000000}" name="Week number" dataDxfId="508"/>
    <tableColumn id="2" xr3:uid="{00000000-0010-0000-0500-000002000000}" name="Week beginning" dataDxfId="507"/>
    <tableColumn id="3" xr3:uid="{00000000-0010-0000-0500-000003000000}" name="Scotland" dataDxfId="506">
      <calculatedColumnFormula>SUM(weekly_covid_deaths_health_board[[#This Row],[Ayrshire and Arran]:[Western Isles]])</calculatedColumnFormula>
    </tableColumn>
    <tableColumn id="4" xr3:uid="{00000000-0010-0000-0500-000004000000}" name="Ayrshire and Arran" dataDxfId="505">
      <calculatedColumnFormula>weekly_covid_deaths_council_area[[#This Row],[East Ayrshire]]+weekly_covid_deaths_council_area[[#This Row],[North Ayrshire]]+weekly_covid_deaths_council_area[[#This Row],[South Ayrshire]]</calculatedColumnFormula>
    </tableColumn>
    <tableColumn id="5" xr3:uid="{00000000-0010-0000-0500-000005000000}" name="Borders" dataDxfId="504">
      <calculatedColumnFormula>weekly_covid_deaths_council_area[[#This Row],[Scottish Borders ]]</calculatedColumnFormula>
    </tableColumn>
    <tableColumn id="6" xr3:uid="{00000000-0010-0000-0500-000006000000}" name="Dumfries and Galloway" dataDxfId="503">
      <calculatedColumnFormula>weekly_covid_deaths_council_area[[#This Row],[Dumfries and Galloway]]</calculatedColumnFormula>
    </tableColumn>
    <tableColumn id="7" xr3:uid="{00000000-0010-0000-0500-000007000000}" name="Fife" dataDxfId="502">
      <calculatedColumnFormula>weekly_covid_deaths_council_area[[#This Row],[Fife]]</calculatedColumnFormula>
    </tableColumn>
    <tableColumn id="8" xr3:uid="{00000000-0010-0000-0500-000008000000}" name="Forth Valley" dataDxfId="501">
      <calculatedColumnFormula>weekly_covid_deaths_council_area[[#This Row],[Clackmannanshire]]+weekly_covid_deaths_council_area[[#This Row],[Falkirk]]+weekly_covid_deaths_council_area[[#This Row],[Stirling]]</calculatedColumnFormula>
    </tableColumn>
    <tableColumn id="9" xr3:uid="{00000000-0010-0000-0500-000009000000}" name="Grampian" dataDxfId="500">
      <calculatedColumnFormula>weekly_covid_deaths_council_area[[#This Row],[Aberdeen City]]+weekly_covid_deaths_council_area[[#This Row],[Aberdeenshire]]+weekly_covid_deaths_council_area[[#This Row],[Moray]]</calculatedColumnFormula>
    </tableColumn>
    <tableColumn id="10" xr3:uid="{00000000-0010-0000-0500-00000A000000}" name="Greater Glasgow and Clyde" dataDxfId="499">
      <calculatedColumnFormula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calculatedColumnFormula>
    </tableColumn>
    <tableColumn id="11" xr3:uid="{00000000-0010-0000-0500-00000B000000}" name="Highland" dataDxfId="498">
      <calculatedColumnFormula>weekly_covid_deaths_council_area[[#This Row],[Highland]]+weekly_covid_deaths_council_area[[#This Row],[Argyll and Bute]]</calculatedColumnFormula>
    </tableColumn>
    <tableColumn id="25" xr3:uid="{00000000-0010-0000-0500-000019000000}" name="Lanarkshire" dataDxfId="497">
      <calculatedColumnFormula>weekly_covid_deaths_council_area[[#This Row],[North Lanarkshire]]+weekly_covid_deaths_council_area[[#This Row],[South Lanarkshire]]</calculatedColumnFormula>
    </tableColumn>
    <tableColumn id="26" xr3:uid="{00000000-0010-0000-0500-00001A000000}" name="Lothian" dataDxfId="496">
      <calculatedColumnFormula>weekly_covid_deaths_council_area[[#This Row],[City of Edinburgh]]+weekly_covid_deaths_council_area[[#This Row],[East Lothian]]+weekly_covid_deaths_council_area[[#This Row],[Midlothian]]+weekly_covid_deaths_council_area[[#This Row],[West Lothian]]</calculatedColumnFormula>
    </tableColumn>
    <tableColumn id="27" xr3:uid="{00000000-0010-0000-0500-00001B000000}" name="Orkney" dataDxfId="495">
      <calculatedColumnFormula>weekly_covid_deaths_council_area[[#This Row],[Orkney Islands]]</calculatedColumnFormula>
    </tableColumn>
    <tableColumn id="28" xr3:uid="{00000000-0010-0000-0500-00001C000000}" name="Shetland" dataDxfId="494">
      <calculatedColumnFormula>weekly_covid_deaths_council_area[[#This Row],[Shetland Islands]]</calculatedColumnFormula>
    </tableColumn>
    <tableColumn id="29" xr3:uid="{00000000-0010-0000-0500-00001D000000}" name="Tayside" dataDxfId="493">
      <calculatedColumnFormula>weekly_covid_deaths_council_area[[#This Row],[Angus]]+weekly_covid_deaths_council_area[[#This Row],[Dundee City]]+weekly_covid_deaths_council_area[[#This Row],[Perth and Kinross]]</calculatedColumnFormula>
    </tableColumn>
    <tableColumn id="30" xr3:uid="{00000000-0010-0000-0500-00001E000000}" name="Western Isles" dataDxfId="492">
      <calculatedColumnFormula>weekly_covid_deaths_council_area[[#This Row],[Na h-Eileanan Siar]]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weekly_covid_deaths_council_area" displayName="weekly_covid_deaths_council_area" ref="A5:AJ59" totalsRowCount="1" headerRowDxfId="491" dataDxfId="489" totalsRowDxfId="487" headerRowBorderDxfId="490" tableBorderDxfId="488" totalsRowBorderDxfId="486">
  <autoFilter ref="A5:AJ5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6" xr3:uid="{00000000-0010-0000-0600-000006000000}" name="Registration Year" totalsRowLabel="Total" totalsRowDxfId="485"/>
    <tableColumn id="1" xr3:uid="{00000000-0010-0000-0600-000001000000}" name="Week number" totalsRowLabel="Total" totalsRowDxfId="484"/>
    <tableColumn id="2" xr3:uid="{00000000-0010-0000-0600-000002000000}" name="Week beginning" totalsRowLabel="Total" totalsRowDxfId="483"/>
    <tableColumn id="3" xr3:uid="{00000000-0010-0000-0600-000003000000}" name="Scotland" totalsRowFunction="sum" totalsRowDxfId="482">
      <calculatedColumnFormula>SUM(weekly_covid_deaths_council_area[[#This Row],[Aberdeen City]:[West Lothian]])</calculatedColumnFormula>
    </tableColumn>
    <tableColumn id="4" xr3:uid="{00000000-0010-0000-0600-000004000000}" name="Aberdeen City" totalsRowFunction="sum" totalsRowDxfId="481"/>
    <tableColumn id="5" xr3:uid="{00000000-0010-0000-0600-000005000000}" name="Aberdeenshire" totalsRowFunction="sum" totalsRowDxfId="480"/>
    <tableColumn id="14" xr3:uid="{00000000-0010-0000-0600-00000E000000}" name="Angus" totalsRowFunction="sum" totalsRowDxfId="479"/>
    <tableColumn id="15" xr3:uid="{00000000-0010-0000-0600-00000F000000}" name="Argyll and Bute" totalsRowFunction="sum" totalsRowDxfId="478"/>
    <tableColumn id="16" xr3:uid="{00000000-0010-0000-0600-000010000000}" name="City of Edinburgh" totalsRowFunction="sum" totalsRowDxfId="477"/>
    <tableColumn id="17" xr3:uid="{00000000-0010-0000-0600-000011000000}" name="Clackmannanshire" totalsRowFunction="sum" totalsRowDxfId="476"/>
    <tableColumn id="18" xr3:uid="{00000000-0010-0000-0600-000012000000}" name="Dumfries and Galloway" totalsRowFunction="sum" totalsRowDxfId="475"/>
    <tableColumn id="19" xr3:uid="{00000000-0010-0000-0600-000013000000}" name="Dundee City" totalsRowFunction="sum" totalsRowDxfId="474"/>
    <tableColumn id="20" xr3:uid="{00000000-0010-0000-0600-000014000000}" name="East Ayrshire" totalsRowFunction="sum" totalsRowDxfId="473"/>
    <tableColumn id="21" xr3:uid="{00000000-0010-0000-0600-000015000000}" name="East Dunbartonshire" totalsRowFunction="sum" totalsRowDxfId="472"/>
    <tableColumn id="22" xr3:uid="{00000000-0010-0000-0600-000016000000}" name="East Lothian" totalsRowFunction="sum" totalsRowDxfId="471"/>
    <tableColumn id="23" xr3:uid="{00000000-0010-0000-0600-000017000000}" name="East Renfrewshire" totalsRowFunction="sum" totalsRowDxfId="470"/>
    <tableColumn id="24" xr3:uid="{00000000-0010-0000-0600-000018000000}" name="Falkirk" totalsRowFunction="sum" totalsRowDxfId="469"/>
    <tableColumn id="25" xr3:uid="{00000000-0010-0000-0600-000019000000}" name="Fife" totalsRowFunction="sum" totalsRowDxfId="468"/>
    <tableColumn id="26" xr3:uid="{00000000-0010-0000-0600-00001A000000}" name="Glasgow City" totalsRowFunction="sum" totalsRowDxfId="467"/>
    <tableColumn id="27" xr3:uid="{00000000-0010-0000-0600-00001B000000}" name="Highland" totalsRowFunction="sum" totalsRowDxfId="466"/>
    <tableColumn id="28" xr3:uid="{00000000-0010-0000-0600-00001C000000}" name="Inverclyde" totalsRowFunction="sum" totalsRowDxfId="465"/>
    <tableColumn id="29" xr3:uid="{00000000-0010-0000-0600-00001D000000}" name="Midlothian" totalsRowFunction="sum" totalsRowDxfId="464"/>
    <tableColumn id="30" xr3:uid="{00000000-0010-0000-0600-00001E000000}" name="Moray" totalsRowFunction="sum" totalsRowDxfId="463"/>
    <tableColumn id="31" xr3:uid="{00000000-0010-0000-0600-00001F000000}" name="Na h-Eileanan Siar" totalsRowFunction="sum" totalsRowDxfId="462"/>
    <tableColumn id="32" xr3:uid="{00000000-0010-0000-0600-000020000000}" name="North Ayrshire" totalsRowFunction="sum" totalsRowDxfId="461"/>
    <tableColumn id="33" xr3:uid="{00000000-0010-0000-0600-000021000000}" name="North Lanarkshire" totalsRowFunction="sum" totalsRowDxfId="460"/>
    <tableColumn id="34" xr3:uid="{00000000-0010-0000-0600-000022000000}" name="Orkney Islands" totalsRowFunction="sum" totalsRowDxfId="459"/>
    <tableColumn id="35" xr3:uid="{00000000-0010-0000-0600-000023000000}" name="Perth and Kinross" totalsRowFunction="sum" totalsRowDxfId="458"/>
    <tableColumn id="36" xr3:uid="{00000000-0010-0000-0600-000024000000}" name="Renfrewshire" totalsRowFunction="sum" totalsRowDxfId="457"/>
    <tableColumn id="37" xr3:uid="{00000000-0010-0000-0600-000025000000}" name="Scottish Borders " totalsRowFunction="sum" totalsRowDxfId="456"/>
    <tableColumn id="38" xr3:uid="{00000000-0010-0000-0600-000026000000}" name="Shetland Islands" totalsRowFunction="sum" totalsRowDxfId="455"/>
    <tableColumn id="39" xr3:uid="{00000000-0010-0000-0600-000027000000}" name="South Ayrshire" totalsRowFunction="sum" totalsRowDxfId="454"/>
    <tableColumn id="40" xr3:uid="{00000000-0010-0000-0600-000028000000}" name="South Lanarkshire" totalsRowFunction="sum" totalsRowDxfId="453"/>
    <tableColumn id="41" xr3:uid="{00000000-0010-0000-0600-000029000000}" name="Stirling" totalsRowFunction="sum" totalsRowDxfId="452"/>
    <tableColumn id="42" xr3:uid="{00000000-0010-0000-0600-00002A000000}" name="West Dunbartonshire" totalsRowFunction="sum" totalsRowDxfId="451"/>
    <tableColumn id="43" xr3:uid="{00000000-0010-0000-0600-00002B000000}" name="West Lothian" totalsRowFunction="sum" totalsRowDxfId="450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weekly_all_cause_deaths_age_persons" displayName="weekly_all_cause_deaths_age_persons" ref="A6:K60" totalsRowCount="1" headerRowDxfId="449" dataDxfId="447" totalsRowDxfId="445" headerRowBorderDxfId="448" tableBorderDxfId="446" totalsRowBorderDxfId="444">
  <autoFilter ref="A6:K59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700-000018000000}" name="Registration year" totalsRowLabel="Total" dataDxfId="443" totalsRowDxfId="442"/>
    <tableColumn id="1" xr3:uid="{00000000-0010-0000-0700-000001000000}" name="Week number" totalsRowLabel="Total" dataDxfId="441" totalsRowDxfId="440"/>
    <tableColumn id="2" xr3:uid="{00000000-0010-0000-0700-000002000000}" name="Week beginning" totalsRowLabel="Total" dataDxfId="439" totalsRowDxfId="438"/>
    <tableColumn id="3" xr3:uid="{00000000-0010-0000-0700-000003000000}" name="All ages" totalsRowFunction="sum" dataDxfId="437" totalsRowDxfId="436">
      <calculatedColumnFormula>SUM(weekly_all_cause_deaths_age_persons[[#This Row],[&lt;1]:[85+]])</calculatedColumnFormula>
    </tableColumn>
    <tableColumn id="4" xr3:uid="{00000000-0010-0000-0700-000004000000}" name="&lt;1" totalsRowFunction="sum" dataDxfId="435" totalsRowDxfId="434"/>
    <tableColumn id="5" xr3:uid="{00000000-0010-0000-0700-000005000000}" name="1-14" totalsRowFunction="sum" dataDxfId="433" totalsRowDxfId="432"/>
    <tableColumn id="6" xr3:uid="{00000000-0010-0000-0700-000006000000}" name="15-44" totalsRowFunction="sum" dataDxfId="431" totalsRowDxfId="430"/>
    <tableColumn id="7" xr3:uid="{00000000-0010-0000-0700-000007000000}" name="45-64" totalsRowFunction="sum" dataDxfId="429" totalsRowDxfId="428"/>
    <tableColumn id="8" xr3:uid="{00000000-0010-0000-0700-000008000000}" name="65-74" totalsRowFunction="sum" dataDxfId="427" totalsRowDxfId="426"/>
    <tableColumn id="9" xr3:uid="{00000000-0010-0000-0700-000009000000}" name="75-84" totalsRowFunction="sum" dataDxfId="425" totalsRowDxfId="424"/>
    <tableColumn id="10" xr3:uid="{00000000-0010-0000-0700-00000A000000}" name="85+" totalsRowFunction="sum" dataDxfId="423" totalsRowDxfId="42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weekly_all_cause_deaths_age_females" displayName="weekly_all_cause_deaths_age_females" ref="A63:K117" totalsRowCount="1" headerRowDxfId="421" dataDxfId="419" totalsRowDxfId="417" headerRowBorderDxfId="420" tableBorderDxfId="418" totalsRowBorderDxfId="416">
  <autoFilter ref="A63:K116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4" xr3:uid="{00000000-0010-0000-0800-000018000000}" name="Registration year" totalsRowLabel="Total" dataDxfId="415" totalsRowDxfId="414"/>
    <tableColumn id="1" xr3:uid="{00000000-0010-0000-0800-000001000000}" name="Week number" totalsRowLabel="Total" dataDxfId="413" totalsRowDxfId="412"/>
    <tableColumn id="2" xr3:uid="{00000000-0010-0000-0800-000002000000}" name="Week ended" totalsRowLabel="Total" dataDxfId="411" totalsRowDxfId="410"/>
    <tableColumn id="3" xr3:uid="{00000000-0010-0000-0800-000003000000}" name="All ages" totalsRowFunction="sum" dataDxfId="409" totalsRowDxfId="408">
      <calculatedColumnFormula>SUM(weekly_all_cause_deaths_age_females[[#This Row],[&lt;1]:[85+]])</calculatedColumnFormula>
    </tableColumn>
    <tableColumn id="4" xr3:uid="{00000000-0010-0000-0800-000004000000}" name="&lt;1" totalsRowFunction="sum" dataDxfId="407" totalsRowDxfId="406"/>
    <tableColumn id="5" xr3:uid="{00000000-0010-0000-0800-000005000000}" name="1-14" totalsRowFunction="sum" dataDxfId="405" totalsRowDxfId="404"/>
    <tableColumn id="6" xr3:uid="{00000000-0010-0000-0800-000006000000}" name="15-44" totalsRowFunction="sum" dataDxfId="403" totalsRowDxfId="402"/>
    <tableColumn id="7" xr3:uid="{00000000-0010-0000-0800-000007000000}" name="45-64" totalsRowFunction="sum" dataDxfId="401" totalsRowDxfId="400"/>
    <tableColumn id="8" xr3:uid="{00000000-0010-0000-0800-000008000000}" name="65-74" totalsRowFunction="sum" dataDxfId="399" totalsRowDxfId="398"/>
    <tableColumn id="9" xr3:uid="{00000000-0010-0000-0800-000009000000}" name="75-84" totalsRowFunction="sum" dataDxfId="397" totalsRowDxfId="396"/>
    <tableColumn id="10" xr3:uid="{00000000-0010-0000-0800-00000A000000}" name="85+" totalsRowFunction="sum" dataDxfId="395" totalsRowDxfId="39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who.int/standards/classifications/classification-of-diseases/emergency-use-icd-codes-for-covid-19-disease-outbreak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iso.org/standard/70907.html" TargetMode="External"/><Relationship Id="rId1" Type="http://schemas.openxmlformats.org/officeDocument/2006/relationships/hyperlink" Target="https://www.nrscotland.gov.uk/statistics-and-data/statistics/statistics-by-theme/vital-events/general-background-information/births-and-deaths-days-until-registration" TargetMode="External"/><Relationship Id="rId6" Type="http://schemas.openxmlformats.org/officeDocument/2006/relationships/hyperlink" Target="https://icd.who.int/browse10/2016/en" TargetMode="External"/><Relationship Id="rId5" Type="http://schemas.openxmlformats.org/officeDocument/2006/relationships/hyperlink" Target="https://www.isdscotland.org/Products-and-Services/Data-Definitions-and-References/National-Reference-Files/" TargetMode="External"/><Relationship Id="rId4" Type="http://schemas.openxmlformats.org/officeDocument/2006/relationships/hyperlink" Target="https://www.nrscotland.gov.uk/files/statistics/vital-events/ve-general-geographical-basi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zoomScaleNormal="100" workbookViewId="0"/>
  </sheetViews>
  <sheetFormatPr defaultColWidth="8.7265625" defaultRowHeight="15.5" x14ac:dyDescent="0.35"/>
  <cols>
    <col min="1" max="1" width="161.7265625" style="6" customWidth="1"/>
    <col min="2" max="16384" width="8.7265625" style="6"/>
  </cols>
  <sheetData>
    <row r="1" spans="1:1" x14ac:dyDescent="0.35">
      <c r="A1" s="42" t="s">
        <v>149</v>
      </c>
    </row>
    <row r="2" spans="1:1" s="5" customFormat="1" x14ac:dyDescent="0.35">
      <c r="A2" s="6" t="s">
        <v>150</v>
      </c>
    </row>
    <row r="3" spans="1:1" s="5" customFormat="1" ht="25.15" customHeight="1" x14ac:dyDescent="0.35">
      <c r="A3" s="43" t="s">
        <v>34</v>
      </c>
    </row>
    <row r="4" spans="1:1" s="5" customFormat="1" x14ac:dyDescent="0.35">
      <c r="A4" s="32" t="s">
        <v>144</v>
      </c>
    </row>
    <row r="5" spans="1:1" s="5" customFormat="1" ht="25.15" customHeight="1" x14ac:dyDescent="0.35">
      <c r="A5" s="43" t="s">
        <v>41</v>
      </c>
    </row>
    <row r="6" spans="1:1" s="5" customFormat="1" x14ac:dyDescent="0.35">
      <c r="A6" s="32" t="s">
        <v>54</v>
      </c>
    </row>
    <row r="7" spans="1:1" s="5" customFormat="1" ht="25.15" customHeight="1" x14ac:dyDescent="0.35">
      <c r="A7" s="43" t="s">
        <v>47</v>
      </c>
    </row>
    <row r="8" spans="1:1" s="5" customFormat="1" x14ac:dyDescent="0.35">
      <c r="A8" s="24">
        <v>2020</v>
      </c>
    </row>
    <row r="9" spans="1:1" s="5" customFormat="1" ht="25.15" customHeight="1" x14ac:dyDescent="0.35">
      <c r="A9" s="43" t="s">
        <v>42</v>
      </c>
    </row>
    <row r="10" spans="1:1" s="5" customFormat="1" x14ac:dyDescent="0.35">
      <c r="A10" s="32" t="s">
        <v>0</v>
      </c>
    </row>
    <row r="11" spans="1:1" s="5" customFormat="1" ht="25.15" customHeight="1" x14ac:dyDescent="0.35">
      <c r="A11" s="43" t="s">
        <v>43</v>
      </c>
    </row>
    <row r="12" spans="1:1" s="5" customFormat="1" x14ac:dyDescent="0.35">
      <c r="A12" s="32" t="s">
        <v>55</v>
      </c>
    </row>
    <row r="13" spans="1:1" s="5" customFormat="1" ht="25.15" customHeight="1" x14ac:dyDescent="0.35">
      <c r="A13" s="43" t="s">
        <v>35</v>
      </c>
    </row>
    <row r="14" spans="1:1" s="5" customFormat="1" x14ac:dyDescent="0.35">
      <c r="A14" s="32" t="s">
        <v>118</v>
      </c>
    </row>
    <row r="15" spans="1:1" s="5" customFormat="1" ht="31" x14ac:dyDescent="0.35">
      <c r="A15" s="36" t="s">
        <v>133</v>
      </c>
    </row>
    <row r="16" spans="1:1" s="5" customFormat="1" x14ac:dyDescent="0.35">
      <c r="A16" s="32" t="s">
        <v>114</v>
      </c>
    </row>
    <row r="17" spans="1:1" s="5" customFormat="1" x14ac:dyDescent="0.35">
      <c r="A17" s="32" t="s">
        <v>119</v>
      </c>
    </row>
    <row r="18" spans="1:1" s="5" customFormat="1" ht="31" x14ac:dyDescent="0.35">
      <c r="A18" s="32" t="s">
        <v>120</v>
      </c>
    </row>
    <row r="19" spans="1:1" x14ac:dyDescent="0.35">
      <c r="A19" s="6" t="s">
        <v>56</v>
      </c>
    </row>
    <row r="20" spans="1:1" ht="25.15" customHeight="1" x14ac:dyDescent="0.35">
      <c r="A20" s="41" t="s">
        <v>121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9"/>
  <sheetViews>
    <sheetView zoomScaleNormal="100" workbookViewId="0"/>
  </sheetViews>
  <sheetFormatPr defaultColWidth="9.26953125" defaultRowHeight="15.5" x14ac:dyDescent="0.35"/>
  <cols>
    <col min="1" max="1" width="16.26953125" style="10" customWidth="1"/>
    <col min="2" max="2" width="11.26953125" style="10" customWidth="1"/>
    <col min="3" max="3" width="12" style="10" bestFit="1" customWidth="1"/>
    <col min="4" max="13" width="15.7265625" style="10" customWidth="1"/>
    <col min="14" max="16384" width="9.26953125" style="10"/>
  </cols>
  <sheetData>
    <row r="1" spans="1:13" s="5" customFormat="1" x14ac:dyDescent="0.35">
      <c r="A1" s="4" t="s">
        <v>169</v>
      </c>
    </row>
    <row r="2" spans="1:13" s="5" customFormat="1" x14ac:dyDescent="0.35">
      <c r="A2" s="6" t="s">
        <v>107</v>
      </c>
    </row>
    <row r="3" spans="1:13" s="5" customFormat="1" x14ac:dyDescent="0.35">
      <c r="A3" s="6" t="s">
        <v>49</v>
      </c>
    </row>
    <row r="4" spans="1:13" s="5" customFormat="1" ht="30" customHeight="1" x14ac:dyDescent="0.35">
      <c r="A4" s="63" t="s">
        <v>53</v>
      </c>
    </row>
    <row r="5" spans="1:13" ht="62.5" thickBot="1" x14ac:dyDescent="0.4">
      <c r="A5" s="9" t="s">
        <v>63</v>
      </c>
      <c r="B5" s="13" t="s">
        <v>57</v>
      </c>
      <c r="C5" s="13" t="s">
        <v>86</v>
      </c>
      <c r="D5" s="8" t="s">
        <v>122</v>
      </c>
      <c r="E5" s="9" t="s">
        <v>123</v>
      </c>
      <c r="F5" s="9" t="s">
        <v>124</v>
      </c>
      <c r="G5" s="9" t="s">
        <v>125</v>
      </c>
      <c r="H5" s="9" t="s">
        <v>126</v>
      </c>
      <c r="I5" s="9" t="s">
        <v>127</v>
      </c>
      <c r="J5" s="9" t="s">
        <v>128</v>
      </c>
      <c r="K5" s="9" t="s">
        <v>129</v>
      </c>
      <c r="L5" s="9" t="s">
        <v>130</v>
      </c>
      <c r="M5" s="9" t="s">
        <v>131</v>
      </c>
    </row>
    <row r="6" spans="1:13" ht="30" customHeight="1" x14ac:dyDescent="0.35">
      <c r="A6" s="14" t="s">
        <v>85</v>
      </c>
      <c r="B6" s="15">
        <v>1</v>
      </c>
      <c r="C6" s="16">
        <v>43829</v>
      </c>
      <c r="D6" s="56">
        <f>SUM(weekly_deaths_by_location[[#This Row],[Care Home
all causes]:[Other institution
all causes]])</f>
        <v>1161</v>
      </c>
      <c r="E6" s="1">
        <v>306</v>
      </c>
      <c r="F6" s="1">
        <v>304</v>
      </c>
      <c r="G6" s="1">
        <v>549</v>
      </c>
      <c r="H6" s="1">
        <v>2</v>
      </c>
      <c r="I6" s="1">
        <f>SUM(weekly_deaths_by_location[[#This Row],[Care Home
COVID-19 mentioned]:[Other institution
COVID-19 mentioned]])</f>
        <v>0</v>
      </c>
      <c r="J6" s="1">
        <v>0</v>
      </c>
      <c r="K6" s="1">
        <v>0</v>
      </c>
      <c r="L6" s="1">
        <v>0</v>
      </c>
      <c r="M6" s="1">
        <v>0</v>
      </c>
    </row>
    <row r="7" spans="1:13" ht="16.149999999999999" customHeight="1" x14ac:dyDescent="0.35">
      <c r="A7" s="14" t="s">
        <v>85</v>
      </c>
      <c r="B7" s="15">
        <v>2</v>
      </c>
      <c r="C7" s="16">
        <v>43836</v>
      </c>
      <c r="D7" s="57">
        <f>SUM(weekly_deaths_by_location[[#This Row],[Care Home
all causes]:[Other institution
all causes]])</f>
        <v>1567</v>
      </c>
      <c r="E7" s="2">
        <v>359</v>
      </c>
      <c r="F7" s="2">
        <v>405</v>
      </c>
      <c r="G7" s="2">
        <v>794</v>
      </c>
      <c r="H7" s="2">
        <v>9</v>
      </c>
      <c r="I7" s="2">
        <f>SUM(weekly_deaths_by_location[[#This Row],[Care Home
COVID-19 mentioned]:[Other institution
COVID-19 mentioned]])</f>
        <v>0</v>
      </c>
      <c r="J7" s="2">
        <v>0</v>
      </c>
      <c r="K7" s="2">
        <v>0</v>
      </c>
      <c r="L7" s="2">
        <v>0</v>
      </c>
      <c r="M7" s="2">
        <v>0</v>
      </c>
    </row>
    <row r="8" spans="1:13" ht="16.149999999999999" customHeight="1" x14ac:dyDescent="0.35">
      <c r="A8" s="14" t="s">
        <v>85</v>
      </c>
      <c r="B8" s="15">
        <v>3</v>
      </c>
      <c r="C8" s="16">
        <v>43843</v>
      </c>
      <c r="D8" s="57">
        <f>SUM(weekly_deaths_by_location[[#This Row],[Care Home
all causes]:[Other institution
all causes]])</f>
        <v>1322</v>
      </c>
      <c r="E8" s="2">
        <v>321</v>
      </c>
      <c r="F8" s="2">
        <v>362</v>
      </c>
      <c r="G8" s="2">
        <v>632</v>
      </c>
      <c r="H8" s="2">
        <v>7</v>
      </c>
      <c r="I8" s="2">
        <f>SUM(weekly_deaths_by_location[[#This Row],[Care Home
COVID-19 mentioned]:[Other institution
COVID-19 mentioned]])</f>
        <v>0</v>
      </c>
      <c r="J8" s="2">
        <v>0</v>
      </c>
      <c r="K8" s="2">
        <v>0</v>
      </c>
      <c r="L8" s="2">
        <v>0</v>
      </c>
      <c r="M8" s="2">
        <v>0</v>
      </c>
    </row>
    <row r="9" spans="1:13" ht="16.149999999999999" customHeight="1" x14ac:dyDescent="0.35">
      <c r="A9" s="14" t="s">
        <v>85</v>
      </c>
      <c r="B9" s="15">
        <v>4</v>
      </c>
      <c r="C9" s="16">
        <v>43850</v>
      </c>
      <c r="D9" s="57">
        <f>SUM(weekly_deaths_by_location[[#This Row],[Care Home
all causes]:[Other institution
all causes]])</f>
        <v>1226</v>
      </c>
      <c r="E9" s="2">
        <v>295</v>
      </c>
      <c r="F9" s="2">
        <v>330</v>
      </c>
      <c r="G9" s="2">
        <v>596</v>
      </c>
      <c r="H9" s="2">
        <v>5</v>
      </c>
      <c r="I9" s="2">
        <f>SUM(weekly_deaths_by_location[[#This Row],[Care Home
COVID-19 mentioned]:[Other institution
COVID-19 mentioned]])</f>
        <v>0</v>
      </c>
      <c r="J9" s="2">
        <v>0</v>
      </c>
      <c r="K9" s="2">
        <v>0</v>
      </c>
      <c r="L9" s="2">
        <v>0</v>
      </c>
      <c r="M9" s="2">
        <v>0</v>
      </c>
    </row>
    <row r="10" spans="1:13" ht="16.149999999999999" customHeight="1" x14ac:dyDescent="0.35">
      <c r="A10" s="14" t="s">
        <v>85</v>
      </c>
      <c r="B10" s="15">
        <v>5</v>
      </c>
      <c r="C10" s="16">
        <v>43857</v>
      </c>
      <c r="D10" s="57">
        <f>SUM(weekly_deaths_by_location[[#This Row],[Care Home
all causes]:[Other institution
all causes]])</f>
        <v>1188</v>
      </c>
      <c r="E10" s="2">
        <v>280</v>
      </c>
      <c r="F10" s="2">
        <v>310</v>
      </c>
      <c r="G10" s="2">
        <v>591</v>
      </c>
      <c r="H10" s="2">
        <v>7</v>
      </c>
      <c r="I10" s="2">
        <f>SUM(weekly_deaths_by_location[[#This Row],[Care Home
COVID-19 mentioned]:[Other institution
COVID-19 mentioned]])</f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6.149999999999999" customHeight="1" x14ac:dyDescent="0.35">
      <c r="A11" s="14" t="s">
        <v>85</v>
      </c>
      <c r="B11" s="15">
        <v>6</v>
      </c>
      <c r="C11" s="16">
        <v>43864</v>
      </c>
      <c r="D11" s="57">
        <f>SUM(weekly_deaths_by_location[[#This Row],[Care Home
all causes]:[Other institution
all causes]])</f>
        <v>1216</v>
      </c>
      <c r="E11" s="2">
        <v>288</v>
      </c>
      <c r="F11" s="2">
        <v>319</v>
      </c>
      <c r="G11" s="2">
        <v>603</v>
      </c>
      <c r="H11" s="2">
        <v>6</v>
      </c>
      <c r="I11" s="2">
        <f>SUM(weekly_deaths_by_location[[#This Row],[Care Home
COVID-19 mentioned]:[Other institution
COVID-19 mentioned]])</f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6.149999999999999" customHeight="1" x14ac:dyDescent="0.35">
      <c r="A12" s="14" t="s">
        <v>85</v>
      </c>
      <c r="B12" s="15">
        <v>7</v>
      </c>
      <c r="C12" s="16">
        <v>43871</v>
      </c>
      <c r="D12" s="57">
        <f>SUM(weekly_deaths_by_location[[#This Row],[Care Home
all causes]:[Other institution
all causes]])</f>
        <v>1162</v>
      </c>
      <c r="E12" s="2">
        <v>258</v>
      </c>
      <c r="F12" s="2">
        <v>347</v>
      </c>
      <c r="G12" s="2">
        <v>555</v>
      </c>
      <c r="H12" s="2">
        <v>2</v>
      </c>
      <c r="I12" s="2">
        <f>SUM(weekly_deaths_by_location[[#This Row],[Care Home
COVID-19 mentioned]:[Other institution
COVID-19 mentioned]])</f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6.149999999999999" customHeight="1" x14ac:dyDescent="0.35">
      <c r="A13" s="14" t="s">
        <v>85</v>
      </c>
      <c r="B13" s="15">
        <v>8</v>
      </c>
      <c r="C13" s="16">
        <v>43878</v>
      </c>
      <c r="D13" s="57">
        <f>SUM(weekly_deaths_by_location[[#This Row],[Care Home
all causes]:[Other institution
all causes]])</f>
        <v>1162</v>
      </c>
      <c r="E13" s="2">
        <v>268</v>
      </c>
      <c r="F13" s="2">
        <v>335</v>
      </c>
      <c r="G13" s="2">
        <v>551</v>
      </c>
      <c r="H13" s="2">
        <v>8</v>
      </c>
      <c r="I13" s="2">
        <f>SUM(weekly_deaths_by_location[[#This Row],[Care Home
COVID-19 mentioned]:[Other institution
COVID-19 mentioned]])</f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6.149999999999999" customHeight="1" x14ac:dyDescent="0.35">
      <c r="A14" s="14" t="s">
        <v>85</v>
      </c>
      <c r="B14" s="15">
        <v>9</v>
      </c>
      <c r="C14" s="16">
        <v>43885</v>
      </c>
      <c r="D14" s="57">
        <f>SUM(weekly_deaths_by_location[[#This Row],[Care Home
all causes]:[Other institution
all causes]])</f>
        <v>1171</v>
      </c>
      <c r="E14" s="2">
        <v>267</v>
      </c>
      <c r="F14" s="2">
        <v>358</v>
      </c>
      <c r="G14" s="2">
        <v>542</v>
      </c>
      <c r="H14" s="2">
        <v>4</v>
      </c>
      <c r="I14" s="2">
        <f>SUM(weekly_deaths_by_location[[#This Row],[Care Home
COVID-19 mentioned]:[Other institution
COVID-19 mentioned]])</f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6.149999999999999" customHeight="1" x14ac:dyDescent="0.35">
      <c r="A15" s="14" t="s">
        <v>85</v>
      </c>
      <c r="B15" s="15">
        <v>10</v>
      </c>
      <c r="C15" s="16">
        <v>43892</v>
      </c>
      <c r="D15" s="57">
        <f>SUM(weekly_deaths_by_location[[#This Row],[Care Home
all causes]:[Other institution
all causes]])</f>
        <v>1208</v>
      </c>
      <c r="E15" s="2">
        <v>290</v>
      </c>
      <c r="F15" s="2">
        <v>342</v>
      </c>
      <c r="G15" s="2">
        <v>570</v>
      </c>
      <c r="H15" s="2">
        <v>6</v>
      </c>
      <c r="I15" s="2">
        <f>SUM(weekly_deaths_by_location[[#This Row],[Care Home
COVID-19 mentioned]:[Other institution
COVID-19 mentioned]])</f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6.149999999999999" customHeight="1" x14ac:dyDescent="0.35">
      <c r="A16" s="14" t="s">
        <v>85</v>
      </c>
      <c r="B16" s="15">
        <v>11</v>
      </c>
      <c r="C16" s="16">
        <v>43899</v>
      </c>
      <c r="D16" s="57">
        <f>SUM(weekly_deaths_by_location[[#This Row],[Care Home
all causes]:[Other institution
all causes]])</f>
        <v>1198</v>
      </c>
      <c r="E16" s="2">
        <v>261</v>
      </c>
      <c r="F16" s="2">
        <v>358</v>
      </c>
      <c r="G16" s="2">
        <v>574</v>
      </c>
      <c r="H16" s="2">
        <v>5</v>
      </c>
      <c r="I16" s="2">
        <f>SUM(weekly_deaths_by_location[[#This Row],[Care Home
COVID-19 mentioned]:[Other institution
COVID-19 mentioned]])</f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6.149999999999999" customHeight="1" x14ac:dyDescent="0.35">
      <c r="A17" s="14" t="s">
        <v>85</v>
      </c>
      <c r="B17" s="15">
        <v>12</v>
      </c>
      <c r="C17" s="16">
        <v>43906</v>
      </c>
      <c r="D17" s="57">
        <f>SUM(weekly_deaths_by_location[[#This Row],[Care Home
all causes]:[Other institution
all causes]])</f>
        <v>1196</v>
      </c>
      <c r="E17" s="2">
        <v>278</v>
      </c>
      <c r="F17" s="2">
        <v>360</v>
      </c>
      <c r="G17" s="2">
        <v>547</v>
      </c>
      <c r="H17" s="2">
        <v>11</v>
      </c>
      <c r="I17" s="2">
        <f>SUM(weekly_deaths_by_location[[#This Row],[Care Home
COVID-19 mentioned]:[Other institution
COVID-19 mentioned]])</f>
        <v>11</v>
      </c>
      <c r="J17" s="2">
        <v>1</v>
      </c>
      <c r="K17" s="2">
        <v>2</v>
      </c>
      <c r="L17" s="2">
        <v>8</v>
      </c>
      <c r="M17" s="2">
        <v>0</v>
      </c>
    </row>
    <row r="18" spans="1:13" ht="16.149999999999999" customHeight="1" x14ac:dyDescent="0.35">
      <c r="A18" s="14" t="s">
        <v>85</v>
      </c>
      <c r="B18" s="15">
        <v>13</v>
      </c>
      <c r="C18" s="16">
        <v>43913</v>
      </c>
      <c r="D18" s="57">
        <f>SUM(weekly_deaths_by_location[[#This Row],[Care Home
all causes]:[Other institution
all causes]])</f>
        <v>1079</v>
      </c>
      <c r="E18" s="2">
        <v>266</v>
      </c>
      <c r="F18" s="2">
        <v>347</v>
      </c>
      <c r="G18" s="2">
        <v>465</v>
      </c>
      <c r="H18" s="2">
        <v>1</v>
      </c>
      <c r="I18" s="2">
        <f>SUM(weekly_deaths_by_location[[#This Row],[Care Home
COVID-19 mentioned]:[Other institution
COVID-19 mentioned]])</f>
        <v>62</v>
      </c>
      <c r="J18" s="2">
        <v>5</v>
      </c>
      <c r="K18" s="2">
        <v>14</v>
      </c>
      <c r="L18" s="2">
        <v>43</v>
      </c>
      <c r="M18" s="2">
        <v>0</v>
      </c>
    </row>
    <row r="19" spans="1:13" ht="16.149999999999999" customHeight="1" x14ac:dyDescent="0.35">
      <c r="A19" s="14" t="s">
        <v>85</v>
      </c>
      <c r="B19" s="15">
        <v>14</v>
      </c>
      <c r="C19" s="16">
        <v>43920</v>
      </c>
      <c r="D19" s="57">
        <f>SUM(weekly_deaths_by_location[[#This Row],[Care Home
all causes]:[Other institution
all causes]])</f>
        <v>1744</v>
      </c>
      <c r="E19" s="25">
        <v>446</v>
      </c>
      <c r="F19" s="25">
        <v>562</v>
      </c>
      <c r="G19" s="25">
        <v>729</v>
      </c>
      <c r="H19" s="25">
        <v>7</v>
      </c>
      <c r="I19" s="25">
        <f>SUM(weekly_deaths_by_location[[#This Row],[Care Home
COVID-19 mentioned]:[Other institution
COVID-19 mentioned]])</f>
        <v>282</v>
      </c>
      <c r="J19" s="25">
        <v>49</v>
      </c>
      <c r="K19" s="25">
        <v>39</v>
      </c>
      <c r="L19" s="25">
        <v>193</v>
      </c>
      <c r="M19" s="25">
        <v>1</v>
      </c>
    </row>
    <row r="20" spans="1:13" ht="16.149999999999999" customHeight="1" x14ac:dyDescent="0.35">
      <c r="A20" s="14" t="s">
        <v>85</v>
      </c>
      <c r="B20" s="15">
        <v>15</v>
      </c>
      <c r="C20" s="16">
        <v>43927</v>
      </c>
      <c r="D20" s="57">
        <f>SUM(weekly_deaths_by_location[[#This Row],[Care Home
all causes]:[Other institution
all causes]])</f>
        <v>1978</v>
      </c>
      <c r="E20" s="19">
        <v>613</v>
      </c>
      <c r="F20" s="19">
        <v>583</v>
      </c>
      <c r="G20" s="19">
        <v>772</v>
      </c>
      <c r="H20" s="19">
        <v>10</v>
      </c>
      <c r="I20" s="19">
        <f>SUM(weekly_deaths_by_location[[#This Row],[Care Home
COVID-19 mentioned]:[Other institution
COVID-19 mentioned]])</f>
        <v>609</v>
      </c>
      <c r="J20" s="19">
        <v>189</v>
      </c>
      <c r="K20" s="19">
        <v>63</v>
      </c>
      <c r="L20" s="19">
        <v>357</v>
      </c>
      <c r="M20" s="19">
        <v>0</v>
      </c>
    </row>
    <row r="21" spans="1:13" ht="16.149999999999999" customHeight="1" x14ac:dyDescent="0.35">
      <c r="A21" s="14" t="s">
        <v>85</v>
      </c>
      <c r="B21" s="15">
        <v>16</v>
      </c>
      <c r="C21" s="16">
        <v>43934</v>
      </c>
      <c r="D21" s="57">
        <f>SUM(weekly_deaths_by_location[[#This Row],[Care Home
all causes]:[Other institution
all causes]])</f>
        <v>1916</v>
      </c>
      <c r="E21" s="19">
        <v>689</v>
      </c>
      <c r="F21" s="19">
        <v>522</v>
      </c>
      <c r="G21" s="19">
        <v>700</v>
      </c>
      <c r="H21" s="19">
        <v>5</v>
      </c>
      <c r="I21" s="19">
        <f>SUM(weekly_deaths_by_location[[#This Row],[Care Home
COVID-19 mentioned]:[Other institution
COVID-19 mentioned]])</f>
        <v>650</v>
      </c>
      <c r="J21" s="19">
        <v>302</v>
      </c>
      <c r="K21" s="19">
        <v>37</v>
      </c>
      <c r="L21" s="19">
        <v>311</v>
      </c>
      <c r="M21" s="19">
        <v>0</v>
      </c>
    </row>
    <row r="22" spans="1:13" ht="16.149999999999999" customHeight="1" x14ac:dyDescent="0.35">
      <c r="A22" s="14" t="s">
        <v>85</v>
      </c>
      <c r="B22" s="15">
        <v>17</v>
      </c>
      <c r="C22" s="16">
        <v>43941</v>
      </c>
      <c r="D22" s="57">
        <f>SUM(weekly_deaths_by_location[[#This Row],[Care Home
all causes]:[Other institution
all causes]])</f>
        <v>1836</v>
      </c>
      <c r="E22" s="19">
        <v>694</v>
      </c>
      <c r="F22" s="19">
        <v>504</v>
      </c>
      <c r="G22" s="19">
        <v>635</v>
      </c>
      <c r="H22" s="19">
        <v>3</v>
      </c>
      <c r="I22" s="19">
        <f>SUM(weekly_deaths_by_location[[#This Row],[Care Home
COVID-19 mentioned]:[Other institution
COVID-19 mentioned]])</f>
        <v>663</v>
      </c>
      <c r="J22" s="19">
        <v>342</v>
      </c>
      <c r="K22" s="19">
        <v>44</v>
      </c>
      <c r="L22" s="19">
        <v>277</v>
      </c>
      <c r="M22" s="19">
        <v>0</v>
      </c>
    </row>
    <row r="23" spans="1:13" ht="16.149999999999999" customHeight="1" x14ac:dyDescent="0.35">
      <c r="A23" s="14" t="s">
        <v>85</v>
      </c>
      <c r="B23" s="15">
        <v>18</v>
      </c>
      <c r="C23" s="16">
        <v>43948</v>
      </c>
      <c r="D23" s="58">
        <f>SUM(weekly_deaths_by_location[[#This Row],[Care Home
all causes]:[Other institution
all causes]])</f>
        <v>1678</v>
      </c>
      <c r="E23" s="19">
        <v>640</v>
      </c>
      <c r="F23" s="19">
        <v>503</v>
      </c>
      <c r="G23" s="19">
        <v>529</v>
      </c>
      <c r="H23" s="19">
        <v>6</v>
      </c>
      <c r="I23" s="19">
        <f>SUM(weekly_deaths_by_location[[#This Row],[Care Home
COVID-19 mentioned]:[Other institution
COVID-19 mentioned]])</f>
        <v>527</v>
      </c>
      <c r="J23" s="19">
        <v>316</v>
      </c>
      <c r="K23" s="19">
        <v>18</v>
      </c>
      <c r="L23" s="19">
        <v>193</v>
      </c>
      <c r="M23" s="19">
        <v>0</v>
      </c>
    </row>
    <row r="24" spans="1:13" ht="16.149999999999999" customHeight="1" x14ac:dyDescent="0.35">
      <c r="A24" s="14" t="s">
        <v>85</v>
      </c>
      <c r="B24" s="15">
        <v>19</v>
      </c>
      <c r="C24" s="16">
        <v>43955</v>
      </c>
      <c r="D24" s="58">
        <f>SUM(weekly_deaths_by_location[[#This Row],[Care Home
all causes]:[Other institution
all causes]])</f>
        <v>1435</v>
      </c>
      <c r="E24" s="19">
        <v>490</v>
      </c>
      <c r="F24" s="19">
        <v>436</v>
      </c>
      <c r="G24" s="19">
        <v>508</v>
      </c>
      <c r="H24" s="19">
        <v>1</v>
      </c>
      <c r="I24" s="19">
        <f>SUM(weekly_deaths_by_location[[#This Row],[Care Home
COVID-19 mentioned]:[Other institution
COVID-19 mentioned]])</f>
        <v>414</v>
      </c>
      <c r="J24" s="19">
        <v>239</v>
      </c>
      <c r="K24" s="19">
        <v>21</v>
      </c>
      <c r="L24" s="19">
        <v>153</v>
      </c>
      <c r="M24" s="19">
        <v>1</v>
      </c>
    </row>
    <row r="25" spans="1:13" ht="16.149999999999999" customHeight="1" x14ac:dyDescent="0.35">
      <c r="A25" s="14" t="s">
        <v>85</v>
      </c>
      <c r="B25" s="15">
        <v>20</v>
      </c>
      <c r="C25" s="16">
        <v>43962</v>
      </c>
      <c r="D25" s="58">
        <f>SUM(weekly_deaths_by_location[[#This Row],[Care Home
all causes]:[Other institution
all causes]])</f>
        <v>1421</v>
      </c>
      <c r="E25" s="19">
        <v>436</v>
      </c>
      <c r="F25" s="19">
        <v>471</v>
      </c>
      <c r="G25" s="19">
        <v>510</v>
      </c>
      <c r="H25" s="19">
        <v>4</v>
      </c>
      <c r="I25" s="19">
        <f>SUM(weekly_deaths_by_location[[#This Row],[Care Home
COVID-19 mentioned]:[Other institution
COVID-19 mentioned]])</f>
        <v>336</v>
      </c>
      <c r="J25" s="19">
        <v>187</v>
      </c>
      <c r="K25" s="19">
        <v>19</v>
      </c>
      <c r="L25" s="19">
        <v>128</v>
      </c>
      <c r="M25" s="19">
        <v>2</v>
      </c>
    </row>
    <row r="26" spans="1:13" ht="16.149999999999999" customHeight="1" x14ac:dyDescent="0.35">
      <c r="A26" s="14" t="s">
        <v>85</v>
      </c>
      <c r="B26" s="15">
        <v>21</v>
      </c>
      <c r="C26" s="16">
        <v>43969</v>
      </c>
      <c r="D26" s="58">
        <f>SUM(weekly_deaths_by_location[[#This Row],[Care Home
all causes]:[Other institution
all causes]])</f>
        <v>1226</v>
      </c>
      <c r="E26" s="19">
        <v>351</v>
      </c>
      <c r="F26" s="19">
        <v>443</v>
      </c>
      <c r="G26" s="19">
        <v>428</v>
      </c>
      <c r="H26" s="19">
        <v>4</v>
      </c>
      <c r="I26" s="19">
        <f>SUM(weekly_deaths_by_location[[#This Row],[Care Home
COVID-19 mentioned]:[Other institution
COVID-19 mentioned]])</f>
        <v>230</v>
      </c>
      <c r="J26" s="19">
        <v>124</v>
      </c>
      <c r="K26" s="19">
        <v>9</v>
      </c>
      <c r="L26" s="19">
        <v>95</v>
      </c>
      <c r="M26" s="19">
        <v>2</v>
      </c>
    </row>
    <row r="27" spans="1:13" ht="16.149999999999999" customHeight="1" x14ac:dyDescent="0.35">
      <c r="A27" s="14" t="s">
        <v>85</v>
      </c>
      <c r="B27" s="15">
        <v>22</v>
      </c>
      <c r="C27" s="16">
        <v>43976</v>
      </c>
      <c r="D27" s="59">
        <f>SUM(weekly_deaths_by_location[[#This Row],[Care Home
all causes]:[Other institution
all causes]])</f>
        <v>1128</v>
      </c>
      <c r="E27" s="19">
        <v>295</v>
      </c>
      <c r="F27" s="19">
        <v>402</v>
      </c>
      <c r="G27" s="19">
        <v>431</v>
      </c>
      <c r="H27" s="19">
        <v>0</v>
      </c>
      <c r="I27" s="19">
        <f>SUM(weekly_deaths_by_location[[#This Row],[Care Home
COVID-19 mentioned]:[Other institution
COVID-19 mentioned]])</f>
        <v>131</v>
      </c>
      <c r="J27" s="19">
        <v>69</v>
      </c>
      <c r="K27" s="19">
        <v>7</v>
      </c>
      <c r="L27" s="19">
        <v>55</v>
      </c>
      <c r="M27" s="19">
        <v>0</v>
      </c>
    </row>
    <row r="28" spans="1:13" ht="16.149999999999999" customHeight="1" x14ac:dyDescent="0.35">
      <c r="A28" s="14" t="s">
        <v>85</v>
      </c>
      <c r="B28" s="15">
        <v>23</v>
      </c>
      <c r="C28" s="16">
        <v>43983</v>
      </c>
      <c r="D28" s="58">
        <f>SUM(weekly_deaths_by_location[[#This Row],[Care Home
all causes]:[Other institution
all causes]])</f>
        <v>1093</v>
      </c>
      <c r="E28" s="19">
        <v>263</v>
      </c>
      <c r="F28" s="19">
        <v>389</v>
      </c>
      <c r="G28" s="19">
        <v>440</v>
      </c>
      <c r="H28" s="19">
        <v>1</v>
      </c>
      <c r="I28" s="19">
        <f>SUM(weekly_deaths_by_location[[#This Row],[Care Home
COVID-19 mentioned]:[Other institution
COVID-19 mentioned]])</f>
        <v>91</v>
      </c>
      <c r="J28" s="19">
        <v>43</v>
      </c>
      <c r="K28" s="19">
        <v>8</v>
      </c>
      <c r="L28" s="19">
        <v>39</v>
      </c>
      <c r="M28" s="19">
        <v>1</v>
      </c>
    </row>
    <row r="29" spans="1:13" ht="16.149999999999999" customHeight="1" x14ac:dyDescent="0.35">
      <c r="A29" s="14" t="s">
        <v>85</v>
      </c>
      <c r="B29" s="15">
        <v>24</v>
      </c>
      <c r="C29" s="16">
        <v>43990</v>
      </c>
      <c r="D29" s="58">
        <f>SUM(weekly_deaths_by_location[[#This Row],[Care Home
all causes]:[Other institution
all causes]])</f>
        <v>1034</v>
      </c>
      <c r="E29" s="19">
        <v>236</v>
      </c>
      <c r="F29" s="19">
        <v>407</v>
      </c>
      <c r="G29" s="19">
        <v>389</v>
      </c>
      <c r="H29" s="19">
        <v>2</v>
      </c>
      <c r="I29" s="19">
        <f>SUM(weekly_deaths_by_location[[#This Row],[Care Home
COVID-19 mentioned]:[Other institution
COVID-19 mentioned]])</f>
        <v>67</v>
      </c>
      <c r="J29" s="19">
        <v>34</v>
      </c>
      <c r="K29" s="19">
        <v>7</v>
      </c>
      <c r="L29" s="19">
        <v>26</v>
      </c>
      <c r="M29" s="19">
        <v>0</v>
      </c>
    </row>
    <row r="30" spans="1:13" ht="16.149999999999999" customHeight="1" x14ac:dyDescent="0.35">
      <c r="A30" s="14" t="s">
        <v>85</v>
      </c>
      <c r="B30" s="15">
        <v>25</v>
      </c>
      <c r="C30" s="16">
        <v>43997</v>
      </c>
      <c r="D30" s="58">
        <f>SUM(weekly_deaths_by_location[[#This Row],[Care Home
all causes]:[Other institution
all causes]])</f>
        <v>1065</v>
      </c>
      <c r="E30" s="19">
        <v>236</v>
      </c>
      <c r="F30" s="19">
        <v>391</v>
      </c>
      <c r="G30" s="19">
        <v>436</v>
      </c>
      <c r="H30" s="19">
        <v>2</v>
      </c>
      <c r="I30" s="19">
        <f>SUM(weekly_deaths_by_location[[#This Row],[Care Home
COVID-19 mentioned]:[Other institution
COVID-19 mentioned]])</f>
        <v>49</v>
      </c>
      <c r="J30" s="19">
        <v>20</v>
      </c>
      <c r="K30" s="19">
        <v>1</v>
      </c>
      <c r="L30" s="19">
        <v>28</v>
      </c>
      <c r="M30" s="19">
        <v>0</v>
      </c>
    </row>
    <row r="31" spans="1:13" ht="16.149999999999999" customHeight="1" x14ac:dyDescent="0.35">
      <c r="A31" s="14" t="s">
        <v>85</v>
      </c>
      <c r="B31" s="15">
        <v>26</v>
      </c>
      <c r="C31" s="16">
        <v>44004</v>
      </c>
      <c r="D31" s="57">
        <f>SUM(weekly_deaths_by_location[[#This Row],[Care Home
all causes]:[Other institution
all causes]])</f>
        <v>1008</v>
      </c>
      <c r="E31" s="19">
        <v>227</v>
      </c>
      <c r="F31" s="19">
        <v>378</v>
      </c>
      <c r="G31" s="19">
        <v>399</v>
      </c>
      <c r="H31" s="19">
        <v>4</v>
      </c>
      <c r="I31" s="19">
        <f>SUM(weekly_deaths_by_location[[#This Row],[Care Home
COVID-19 mentioned]:[Other institution
COVID-19 mentioned]])</f>
        <v>36</v>
      </c>
      <c r="J31" s="19">
        <v>17</v>
      </c>
      <c r="K31" s="19">
        <v>3</v>
      </c>
      <c r="L31" s="19">
        <v>16</v>
      </c>
      <c r="M31" s="19">
        <v>0</v>
      </c>
    </row>
    <row r="32" spans="1:13" ht="16.149999999999999" customHeight="1" x14ac:dyDescent="0.35">
      <c r="A32" s="14" t="s">
        <v>85</v>
      </c>
      <c r="B32" s="15">
        <v>27</v>
      </c>
      <c r="C32" s="16">
        <v>44011</v>
      </c>
      <c r="D32" s="58">
        <f>SUM(weekly_deaths_by_location[[#This Row],[Care Home
all causes]:[Other institution
all causes]])</f>
        <v>983</v>
      </c>
      <c r="E32" s="19">
        <v>182</v>
      </c>
      <c r="F32" s="19">
        <v>385</v>
      </c>
      <c r="G32" s="19">
        <v>403</v>
      </c>
      <c r="H32" s="19">
        <v>13</v>
      </c>
      <c r="I32" s="19">
        <f>SUM(weekly_deaths_by_location[[#This Row],[Care Home
COVID-19 mentioned]:[Other institution
COVID-19 mentioned]])</f>
        <v>19</v>
      </c>
      <c r="J32" s="19">
        <v>6</v>
      </c>
      <c r="K32" s="19">
        <v>1</v>
      </c>
      <c r="L32" s="19">
        <v>12</v>
      </c>
      <c r="M32" s="19">
        <v>0</v>
      </c>
    </row>
    <row r="33" spans="1:13" ht="16.149999999999999" customHeight="1" x14ac:dyDescent="0.35">
      <c r="A33" s="14" t="s">
        <v>85</v>
      </c>
      <c r="B33" s="15">
        <v>28</v>
      </c>
      <c r="C33" s="16">
        <v>44018</v>
      </c>
      <c r="D33" s="58">
        <f>SUM(weekly_deaths_by_location[[#This Row],[Care Home
all causes]:[Other institution
all causes]])</f>
        <v>977</v>
      </c>
      <c r="E33" s="19">
        <v>200</v>
      </c>
      <c r="F33" s="19">
        <v>374</v>
      </c>
      <c r="G33" s="19">
        <v>396</v>
      </c>
      <c r="H33" s="19">
        <v>7</v>
      </c>
      <c r="I33" s="19">
        <f>SUM(weekly_deaths_by_location[[#This Row],[Care Home
COVID-19 mentioned]:[Other institution
COVID-19 mentioned]])</f>
        <v>13</v>
      </c>
      <c r="J33" s="19">
        <v>7</v>
      </c>
      <c r="K33" s="19">
        <v>1</v>
      </c>
      <c r="L33" s="19">
        <v>5</v>
      </c>
      <c r="M33" s="19">
        <v>0</v>
      </c>
    </row>
    <row r="34" spans="1:13" ht="16.149999999999999" customHeight="1" x14ac:dyDescent="0.35">
      <c r="A34" s="14" t="s">
        <v>85</v>
      </c>
      <c r="B34" s="15">
        <v>29</v>
      </c>
      <c r="C34" s="16">
        <v>44025</v>
      </c>
      <c r="D34" s="57">
        <f>SUM(weekly_deaths_by_location[[#This Row],[Care Home
all causes]:[Other institution
all causes]])</f>
        <v>1033</v>
      </c>
      <c r="E34" s="19">
        <v>219</v>
      </c>
      <c r="F34" s="19">
        <v>373</v>
      </c>
      <c r="G34" s="19">
        <v>439</v>
      </c>
      <c r="H34" s="19">
        <v>2</v>
      </c>
      <c r="I34" s="19">
        <f>SUM(weekly_deaths_by_location[[#This Row],[Care Home
COVID-19 mentioned]:[Other institution
COVID-19 mentioned]])</f>
        <v>6</v>
      </c>
      <c r="J34" s="19">
        <v>3</v>
      </c>
      <c r="K34" s="19">
        <v>0</v>
      </c>
      <c r="L34" s="19">
        <v>3</v>
      </c>
      <c r="M34" s="19">
        <v>0</v>
      </c>
    </row>
    <row r="35" spans="1:13" ht="16.149999999999999" customHeight="1" x14ac:dyDescent="0.35">
      <c r="A35" s="14" t="s">
        <v>85</v>
      </c>
      <c r="B35" s="15">
        <v>30</v>
      </c>
      <c r="C35" s="16">
        <v>44032</v>
      </c>
      <c r="D35" s="57">
        <f>SUM(weekly_deaths_by_location[[#This Row],[Care Home
all causes]:[Other institution
all causes]])</f>
        <v>962</v>
      </c>
      <c r="E35" s="19">
        <v>210</v>
      </c>
      <c r="F35" s="19">
        <v>369</v>
      </c>
      <c r="G35" s="19">
        <v>375</v>
      </c>
      <c r="H35" s="19">
        <v>8</v>
      </c>
      <c r="I35" s="19">
        <f>SUM(weekly_deaths_by_location[[#This Row],[Care Home
COVID-19 mentioned]:[Other institution
COVID-19 mentioned]])</f>
        <v>8</v>
      </c>
      <c r="J35" s="19">
        <v>2</v>
      </c>
      <c r="K35" s="19">
        <v>2</v>
      </c>
      <c r="L35" s="19">
        <v>4</v>
      </c>
      <c r="M35" s="19">
        <v>0</v>
      </c>
    </row>
    <row r="36" spans="1:13" ht="16.149999999999999" customHeight="1" x14ac:dyDescent="0.35">
      <c r="A36" s="14" t="s">
        <v>85</v>
      </c>
      <c r="B36" s="15">
        <v>31</v>
      </c>
      <c r="C36" s="16">
        <v>44039</v>
      </c>
      <c r="D36" s="58">
        <f>SUM(weekly_deaths_by_location[[#This Row],[Care Home
all causes]:[Other institution
all causes]])</f>
        <v>1043</v>
      </c>
      <c r="E36" s="19">
        <v>214</v>
      </c>
      <c r="F36" s="19">
        <v>380</v>
      </c>
      <c r="G36" s="19">
        <v>445</v>
      </c>
      <c r="H36" s="19">
        <v>4</v>
      </c>
      <c r="I36" s="19">
        <f>SUM(weekly_deaths_by_location[[#This Row],[Care Home
COVID-19 mentioned]:[Other institution
COVID-19 mentioned]])</f>
        <v>6</v>
      </c>
      <c r="J36" s="19">
        <v>2</v>
      </c>
      <c r="K36" s="19">
        <v>1</v>
      </c>
      <c r="L36" s="19">
        <v>3</v>
      </c>
      <c r="M36" s="19">
        <v>0</v>
      </c>
    </row>
    <row r="37" spans="1:13" ht="16.149999999999999" customHeight="1" x14ac:dyDescent="0.35">
      <c r="A37" s="14" t="s">
        <v>85</v>
      </c>
      <c r="B37" s="15">
        <v>32</v>
      </c>
      <c r="C37" s="16">
        <v>44046</v>
      </c>
      <c r="D37" s="58">
        <f>SUM(weekly_deaths_by_location[[#This Row],[Care Home
all causes]:[Other institution
all causes]])</f>
        <v>1011</v>
      </c>
      <c r="E37" s="19">
        <v>210</v>
      </c>
      <c r="F37" s="19">
        <v>373</v>
      </c>
      <c r="G37" s="19">
        <v>420</v>
      </c>
      <c r="H37" s="19">
        <v>8</v>
      </c>
      <c r="I37" s="19">
        <f>SUM(weekly_deaths_by_location[[#This Row],[Care Home
COVID-19 mentioned]:[Other institution
COVID-19 mentioned]])</f>
        <v>5</v>
      </c>
      <c r="J37" s="19">
        <v>2</v>
      </c>
      <c r="K37" s="19">
        <v>1</v>
      </c>
      <c r="L37" s="19">
        <v>2</v>
      </c>
      <c r="M37" s="19">
        <v>0</v>
      </c>
    </row>
    <row r="38" spans="1:13" ht="16.149999999999999" customHeight="1" x14ac:dyDescent="0.35">
      <c r="A38" s="14" t="s">
        <v>85</v>
      </c>
      <c r="B38" s="15">
        <v>33</v>
      </c>
      <c r="C38" s="16">
        <v>44053</v>
      </c>
      <c r="D38" s="58">
        <f>SUM(weekly_deaths_by_location[[#This Row],[Care Home
all causes]:[Other institution
all causes]])</f>
        <v>928</v>
      </c>
      <c r="E38" s="19">
        <v>203</v>
      </c>
      <c r="F38" s="19">
        <v>351</v>
      </c>
      <c r="G38" s="19">
        <v>372</v>
      </c>
      <c r="H38" s="19">
        <v>2</v>
      </c>
      <c r="I38" s="19">
        <f>SUM(weekly_deaths_by_location[[#This Row],[Care Home
COVID-19 mentioned]:[Other institution
COVID-19 mentioned]])</f>
        <v>3</v>
      </c>
      <c r="J38" s="19">
        <v>1</v>
      </c>
      <c r="K38" s="19">
        <v>0</v>
      </c>
      <c r="L38" s="19">
        <v>2</v>
      </c>
      <c r="M38" s="19">
        <v>0</v>
      </c>
    </row>
    <row r="39" spans="1:13" ht="16.149999999999999" customHeight="1" x14ac:dyDescent="0.35">
      <c r="A39" s="14" t="s">
        <v>85</v>
      </c>
      <c r="B39" s="15">
        <v>34</v>
      </c>
      <c r="C39" s="16">
        <v>44060</v>
      </c>
      <c r="D39" s="58">
        <f>SUM(weekly_deaths_by_location[[#This Row],[Care Home
all causes]:[Other institution
all causes]])</f>
        <v>1046</v>
      </c>
      <c r="E39" s="19">
        <v>234</v>
      </c>
      <c r="F39" s="19">
        <v>364</v>
      </c>
      <c r="G39" s="19">
        <v>442</v>
      </c>
      <c r="H39" s="19">
        <v>6</v>
      </c>
      <c r="I39" s="19">
        <f>SUM(weekly_deaths_by_location[[#This Row],[Care Home
COVID-19 mentioned]:[Other institution
COVID-19 mentioned]])</f>
        <v>5</v>
      </c>
      <c r="J39" s="19">
        <v>3</v>
      </c>
      <c r="K39" s="19">
        <v>0</v>
      </c>
      <c r="L39" s="19">
        <v>2</v>
      </c>
      <c r="M39" s="19">
        <v>0</v>
      </c>
    </row>
    <row r="40" spans="1:13" ht="16.149999999999999" customHeight="1" x14ac:dyDescent="0.35">
      <c r="A40" s="14" t="s">
        <v>85</v>
      </c>
      <c r="B40" s="15">
        <v>35</v>
      </c>
      <c r="C40" s="16">
        <v>44067</v>
      </c>
      <c r="D40" s="58">
        <f>SUM(weekly_deaths_by_location[[#This Row],[Care Home
all causes]:[Other institution
all causes]])</f>
        <v>1030</v>
      </c>
      <c r="E40" s="19">
        <v>206</v>
      </c>
      <c r="F40" s="19">
        <v>381</v>
      </c>
      <c r="G40" s="19">
        <v>438</v>
      </c>
      <c r="H40" s="19">
        <v>5</v>
      </c>
      <c r="I40" s="19">
        <f>SUM(weekly_deaths_by_location[[#This Row],[Care Home
COVID-19 mentioned]:[Other institution
COVID-19 mentioned]])</f>
        <v>7</v>
      </c>
      <c r="J40" s="19">
        <v>3</v>
      </c>
      <c r="K40" s="19">
        <v>1</v>
      </c>
      <c r="L40" s="19">
        <v>3</v>
      </c>
      <c r="M40" s="19">
        <v>0</v>
      </c>
    </row>
    <row r="41" spans="1:13" ht="16.149999999999999" customHeight="1" x14ac:dyDescent="0.35">
      <c r="A41" s="14" t="s">
        <v>85</v>
      </c>
      <c r="B41" s="15">
        <v>36</v>
      </c>
      <c r="C41" s="16">
        <v>44074</v>
      </c>
      <c r="D41" s="58">
        <f>SUM(weekly_deaths_by_location[[#This Row],[Care Home
all causes]:[Other institution
all causes]])</f>
        <v>1050</v>
      </c>
      <c r="E41" s="19">
        <v>216</v>
      </c>
      <c r="F41" s="19">
        <v>369</v>
      </c>
      <c r="G41" s="19">
        <v>457</v>
      </c>
      <c r="H41" s="19">
        <v>8</v>
      </c>
      <c r="I41" s="19">
        <f>SUM(weekly_deaths_by_location[[#This Row],[Care Home
COVID-19 mentioned]:[Other institution
COVID-19 mentioned]])</f>
        <v>2</v>
      </c>
      <c r="J41" s="19">
        <v>0</v>
      </c>
      <c r="K41" s="19">
        <v>0</v>
      </c>
      <c r="L41" s="19">
        <v>2</v>
      </c>
      <c r="M41" s="19">
        <v>0</v>
      </c>
    </row>
    <row r="42" spans="1:13" ht="16.149999999999999" customHeight="1" x14ac:dyDescent="0.35">
      <c r="A42" s="14" t="s">
        <v>85</v>
      </c>
      <c r="B42" s="15">
        <v>37</v>
      </c>
      <c r="C42" s="16">
        <v>44081</v>
      </c>
      <c r="D42" s="58">
        <f>SUM(weekly_deaths_by_location[[#This Row],[Care Home
all causes]:[Other institution
all causes]])</f>
        <v>1069</v>
      </c>
      <c r="E42" s="19">
        <v>218</v>
      </c>
      <c r="F42" s="19">
        <v>357</v>
      </c>
      <c r="G42" s="19">
        <v>491</v>
      </c>
      <c r="H42" s="19">
        <v>3</v>
      </c>
      <c r="I42" s="19">
        <f>SUM(weekly_deaths_by_location[[#This Row],[Care Home
COVID-19 mentioned]:[Other institution
COVID-19 mentioned]])</f>
        <v>5</v>
      </c>
      <c r="J42" s="19">
        <v>2</v>
      </c>
      <c r="K42" s="19">
        <v>0</v>
      </c>
      <c r="L42" s="19">
        <v>3</v>
      </c>
      <c r="M42" s="19">
        <v>0</v>
      </c>
    </row>
    <row r="43" spans="1:13" ht="16.149999999999999" customHeight="1" x14ac:dyDescent="0.35">
      <c r="A43" s="14" t="s">
        <v>85</v>
      </c>
      <c r="B43" s="15">
        <v>38</v>
      </c>
      <c r="C43" s="16">
        <v>44088</v>
      </c>
      <c r="D43" s="59">
        <f>SUM(weekly_deaths_by_location[[#This Row],[Care Home
all causes]:[Other institution
all causes]])</f>
        <v>952</v>
      </c>
      <c r="E43" s="19">
        <v>207</v>
      </c>
      <c r="F43" s="19">
        <v>340</v>
      </c>
      <c r="G43" s="19">
        <v>397</v>
      </c>
      <c r="H43" s="19">
        <v>8</v>
      </c>
      <c r="I43" s="19">
        <f>SUM(weekly_deaths_by_location[[#This Row],[Care Home
COVID-19 mentioned]:[Other institution
COVID-19 mentioned]])</f>
        <v>11</v>
      </c>
      <c r="J43" s="19">
        <v>3</v>
      </c>
      <c r="K43" s="19">
        <v>0</v>
      </c>
      <c r="L43" s="19">
        <v>8</v>
      </c>
      <c r="M43" s="19">
        <v>0</v>
      </c>
    </row>
    <row r="44" spans="1:13" ht="16.149999999999999" customHeight="1" x14ac:dyDescent="0.35">
      <c r="A44" s="14" t="s">
        <v>85</v>
      </c>
      <c r="B44" s="15">
        <v>39</v>
      </c>
      <c r="C44" s="16">
        <v>44095</v>
      </c>
      <c r="D44" s="58">
        <f>SUM(weekly_deaths_by_location[[#This Row],[Care Home
all causes]:[Other institution
all causes]])</f>
        <v>933</v>
      </c>
      <c r="E44" s="19">
        <v>201</v>
      </c>
      <c r="F44" s="19">
        <v>307</v>
      </c>
      <c r="G44" s="19">
        <v>419</v>
      </c>
      <c r="H44" s="19">
        <v>6</v>
      </c>
      <c r="I44" s="19">
        <f>SUM(weekly_deaths_by_location[[#This Row],[Care Home
COVID-19 mentioned]:[Other institution
COVID-19 mentioned]])</f>
        <v>10</v>
      </c>
      <c r="J44" s="19">
        <v>4</v>
      </c>
      <c r="K44" s="19">
        <v>1</v>
      </c>
      <c r="L44" s="19">
        <v>5</v>
      </c>
      <c r="M44" s="19">
        <v>0</v>
      </c>
    </row>
    <row r="45" spans="1:13" ht="16.149999999999999" customHeight="1" x14ac:dyDescent="0.35">
      <c r="A45" s="14" t="s">
        <v>85</v>
      </c>
      <c r="B45" s="15">
        <v>40</v>
      </c>
      <c r="C45" s="16">
        <v>44102</v>
      </c>
      <c r="D45" s="58">
        <f>SUM(weekly_deaths_by_location[[#This Row],[Care Home
all causes]:[Other institution
all causes]])</f>
        <v>1196</v>
      </c>
      <c r="E45" s="19">
        <v>263</v>
      </c>
      <c r="F45" s="19">
        <v>403</v>
      </c>
      <c r="G45" s="19">
        <v>521</v>
      </c>
      <c r="H45" s="19">
        <v>9</v>
      </c>
      <c r="I45" s="19">
        <f>SUM(weekly_deaths_by_location[[#This Row],[Care Home
COVID-19 mentioned]:[Other institution
COVID-19 mentioned]])</f>
        <v>20</v>
      </c>
      <c r="J45" s="19">
        <v>6</v>
      </c>
      <c r="K45" s="19">
        <v>0</v>
      </c>
      <c r="L45" s="19">
        <v>13</v>
      </c>
      <c r="M45" s="19">
        <v>1</v>
      </c>
    </row>
    <row r="46" spans="1:13" ht="16.149999999999999" customHeight="1" x14ac:dyDescent="0.35">
      <c r="A46" s="14" t="s">
        <v>85</v>
      </c>
      <c r="B46" s="15">
        <v>41</v>
      </c>
      <c r="C46" s="16">
        <v>44109</v>
      </c>
      <c r="D46" s="58">
        <f>SUM(weekly_deaths_by_location[[#This Row],[Care Home
all causes]:[Other institution
all causes]])</f>
        <v>1072</v>
      </c>
      <c r="E46" s="19">
        <v>221</v>
      </c>
      <c r="F46" s="19">
        <v>374</v>
      </c>
      <c r="G46" s="19">
        <v>472</v>
      </c>
      <c r="H46" s="19">
        <v>5</v>
      </c>
      <c r="I46" s="19">
        <f>SUM(weekly_deaths_by_location[[#This Row],[Care Home
COVID-19 mentioned]:[Other institution
COVID-19 mentioned]])</f>
        <v>25</v>
      </c>
      <c r="J46" s="19">
        <v>7</v>
      </c>
      <c r="K46" s="19">
        <v>1</v>
      </c>
      <c r="L46" s="19">
        <v>17</v>
      </c>
      <c r="M46" s="19">
        <v>0</v>
      </c>
    </row>
    <row r="47" spans="1:13" ht="16.149999999999999" customHeight="1" x14ac:dyDescent="0.35">
      <c r="A47" s="14" t="s">
        <v>85</v>
      </c>
      <c r="B47" s="15">
        <v>42</v>
      </c>
      <c r="C47" s="16">
        <v>44116</v>
      </c>
      <c r="D47" s="58">
        <f>SUM(weekly_deaths_by_location[[#This Row],[Care Home
all causes]:[Other institution
all causes]])</f>
        <v>1134</v>
      </c>
      <c r="E47" s="19">
        <v>249</v>
      </c>
      <c r="F47" s="19">
        <v>344</v>
      </c>
      <c r="G47" s="19">
        <v>534</v>
      </c>
      <c r="H47" s="19">
        <v>7</v>
      </c>
      <c r="I47" s="19">
        <f>SUM(weekly_deaths_by_location[[#This Row],[Care Home
COVID-19 mentioned]:[Other institution
COVID-19 mentioned]])</f>
        <v>76</v>
      </c>
      <c r="J47" s="19">
        <v>13</v>
      </c>
      <c r="K47" s="19">
        <v>5</v>
      </c>
      <c r="L47" s="19">
        <v>58</v>
      </c>
      <c r="M47" s="19">
        <v>0</v>
      </c>
    </row>
    <row r="48" spans="1:13" ht="16.149999999999999" customHeight="1" x14ac:dyDescent="0.35">
      <c r="A48" s="14" t="s">
        <v>85</v>
      </c>
      <c r="B48" s="15">
        <v>43</v>
      </c>
      <c r="C48" s="16">
        <v>44123</v>
      </c>
      <c r="D48" s="58">
        <f>SUM(weekly_deaths_by_location[[#This Row],[Care Home
all causes]:[Other institution
all causes]])</f>
        <v>1187</v>
      </c>
      <c r="E48" s="19">
        <v>254</v>
      </c>
      <c r="F48" s="19">
        <v>387</v>
      </c>
      <c r="G48" s="19">
        <v>544</v>
      </c>
      <c r="H48" s="19">
        <v>2</v>
      </c>
      <c r="I48" s="19">
        <f>SUM(weekly_deaths_by_location[[#This Row],[Care Home
COVID-19 mentioned]:[Other institution
COVID-19 mentioned]])</f>
        <v>107</v>
      </c>
      <c r="J48" s="19">
        <v>18</v>
      </c>
      <c r="K48" s="19">
        <v>7</v>
      </c>
      <c r="L48" s="19">
        <v>82</v>
      </c>
      <c r="M48" s="19">
        <v>0</v>
      </c>
    </row>
    <row r="49" spans="1:13" ht="16.149999999999999" customHeight="1" x14ac:dyDescent="0.35">
      <c r="A49" s="14" t="s">
        <v>85</v>
      </c>
      <c r="B49" s="15">
        <v>44</v>
      </c>
      <c r="C49" s="16">
        <v>44130</v>
      </c>
      <c r="D49" s="59">
        <f>SUM(weekly_deaths_by_location[[#This Row],[Care Home
all causes]:[Other institution
all causes]])</f>
        <v>1262</v>
      </c>
      <c r="E49" s="25">
        <v>248</v>
      </c>
      <c r="F49" s="25">
        <v>415</v>
      </c>
      <c r="G49" s="25">
        <v>598</v>
      </c>
      <c r="H49" s="25">
        <v>1</v>
      </c>
      <c r="I49" s="25">
        <f>SUM(weekly_deaths_by_location[[#This Row],[Care Home
COVID-19 mentioned]:[Other institution
COVID-19 mentioned]])</f>
        <v>168</v>
      </c>
      <c r="J49" s="25">
        <v>31</v>
      </c>
      <c r="K49" s="25">
        <v>9</v>
      </c>
      <c r="L49" s="25">
        <v>128</v>
      </c>
      <c r="M49" s="25">
        <v>0</v>
      </c>
    </row>
    <row r="50" spans="1:13" ht="16.149999999999999" customHeight="1" x14ac:dyDescent="0.35">
      <c r="A50" s="14" t="s">
        <v>85</v>
      </c>
      <c r="B50" s="15">
        <v>45</v>
      </c>
      <c r="C50" s="16">
        <v>44137</v>
      </c>
      <c r="D50" s="58">
        <f>SUM(weekly_deaths_by_location[[#This Row],[Care Home
all causes]:[Other institution
all causes]])</f>
        <v>1250</v>
      </c>
      <c r="E50" s="19">
        <v>272</v>
      </c>
      <c r="F50" s="19">
        <v>409</v>
      </c>
      <c r="G50" s="19">
        <v>565</v>
      </c>
      <c r="H50" s="19">
        <v>4</v>
      </c>
      <c r="I50" s="19">
        <f>SUM(weekly_deaths_by_location[[#This Row],[Care Home
COVID-19 mentioned]:[Other institution
COVID-19 mentioned]])</f>
        <v>209</v>
      </c>
      <c r="J50" s="19">
        <v>53</v>
      </c>
      <c r="K50" s="19">
        <v>11</v>
      </c>
      <c r="L50" s="19">
        <v>144</v>
      </c>
      <c r="M50" s="19">
        <v>1</v>
      </c>
    </row>
    <row r="51" spans="1:13" ht="16.149999999999999" customHeight="1" x14ac:dyDescent="0.35">
      <c r="A51" s="14" t="s">
        <v>85</v>
      </c>
      <c r="B51" s="15">
        <v>46</v>
      </c>
      <c r="C51" s="16">
        <v>44144</v>
      </c>
      <c r="D51" s="57">
        <f>SUM(weekly_deaths_by_location[[#This Row],[Care Home
all causes]:[Other institution
all causes]])</f>
        <v>1338</v>
      </c>
      <c r="E51" s="19">
        <v>295</v>
      </c>
      <c r="F51" s="19">
        <v>397</v>
      </c>
      <c r="G51" s="19">
        <v>643</v>
      </c>
      <c r="H51" s="19">
        <v>3</v>
      </c>
      <c r="I51" s="19">
        <f>SUM(weekly_deaths_by_location[[#This Row],[Care Home
COVID-19 mentioned]:[Other institution
COVID-19 mentioned]])</f>
        <v>280</v>
      </c>
      <c r="J51" s="19">
        <v>72</v>
      </c>
      <c r="K51" s="19">
        <v>9</v>
      </c>
      <c r="L51" s="19">
        <v>199</v>
      </c>
      <c r="M51" s="19">
        <v>0</v>
      </c>
    </row>
    <row r="52" spans="1:13" ht="16.149999999999999" customHeight="1" x14ac:dyDescent="0.35">
      <c r="A52" s="14" t="s">
        <v>85</v>
      </c>
      <c r="B52" s="15">
        <v>47</v>
      </c>
      <c r="C52" s="16">
        <v>44151</v>
      </c>
      <c r="D52" s="59">
        <f>SUM(weekly_deaths_by_location[[#This Row],[Care Home
all causes]:[Other institution
all causes]])</f>
        <v>1360</v>
      </c>
      <c r="E52" s="25">
        <v>319</v>
      </c>
      <c r="F52" s="25">
        <v>426</v>
      </c>
      <c r="G52" s="25">
        <v>612</v>
      </c>
      <c r="H52" s="25">
        <v>3</v>
      </c>
      <c r="I52" s="25">
        <f>SUM(weekly_deaths_by_location[[#This Row],[Care Home
COVID-19 mentioned]:[Other institution
COVID-19 mentioned]])</f>
        <v>249</v>
      </c>
      <c r="J52" s="25">
        <v>67</v>
      </c>
      <c r="K52" s="25">
        <v>20</v>
      </c>
      <c r="L52" s="25">
        <v>162</v>
      </c>
      <c r="M52" s="25">
        <v>0</v>
      </c>
    </row>
    <row r="53" spans="1:13" ht="16.149999999999999" customHeight="1" x14ac:dyDescent="0.35">
      <c r="A53" s="14" t="s">
        <v>85</v>
      </c>
      <c r="B53" s="15">
        <v>48</v>
      </c>
      <c r="C53" s="16">
        <v>44158</v>
      </c>
      <c r="D53" s="59">
        <f>SUM(weekly_deaths_by_location[[#This Row],[Care Home
all causes]:[Other institution
all causes]])</f>
        <v>1329</v>
      </c>
      <c r="E53" s="52">
        <v>304</v>
      </c>
      <c r="F53" s="52">
        <v>412</v>
      </c>
      <c r="G53" s="52">
        <v>606</v>
      </c>
      <c r="H53" s="52">
        <v>7</v>
      </c>
      <c r="I53" s="52">
        <f>SUM(weekly_deaths_by_location[[#This Row],[Care Home
COVID-19 mentioned]:[Other institution
COVID-19 mentioned]])</f>
        <v>252</v>
      </c>
      <c r="J53" s="52">
        <v>75</v>
      </c>
      <c r="K53" s="52">
        <v>11</v>
      </c>
      <c r="L53" s="52">
        <v>165</v>
      </c>
      <c r="M53" s="52">
        <v>1</v>
      </c>
    </row>
    <row r="54" spans="1:13" ht="16.149999999999999" customHeight="1" x14ac:dyDescent="0.35">
      <c r="A54" s="14" t="s">
        <v>85</v>
      </c>
      <c r="B54" s="15">
        <v>49</v>
      </c>
      <c r="C54" s="16">
        <v>44165</v>
      </c>
      <c r="D54" s="59">
        <f>SUM(weekly_deaths_by_location[[#This Row],[Care Home
all causes]:[Other institution
all causes]])</f>
        <v>1296</v>
      </c>
      <c r="E54" s="52">
        <v>297</v>
      </c>
      <c r="F54" s="52">
        <v>414</v>
      </c>
      <c r="G54" s="52">
        <v>580</v>
      </c>
      <c r="H54" s="52">
        <v>5</v>
      </c>
      <c r="I54" s="52">
        <f>SUM(weekly_deaths_by_location[[#This Row],[Care Home
COVID-19 mentioned]:[Other institution
COVID-19 mentioned]])</f>
        <v>233</v>
      </c>
      <c r="J54" s="52">
        <v>78</v>
      </c>
      <c r="K54" s="52">
        <v>10</v>
      </c>
      <c r="L54" s="52">
        <v>145</v>
      </c>
      <c r="M54" s="52">
        <v>0</v>
      </c>
    </row>
    <row r="55" spans="1:13" ht="16.149999999999999" customHeight="1" x14ac:dyDescent="0.35">
      <c r="A55" s="14" t="s">
        <v>85</v>
      </c>
      <c r="B55" s="15">
        <v>50</v>
      </c>
      <c r="C55" s="16">
        <v>44172</v>
      </c>
      <c r="D55" s="59">
        <f>SUM(weekly_deaths_by_location[[#This Row],[Care Home
all causes]:[Other institution
all causes]])</f>
        <v>1284</v>
      </c>
      <c r="E55" s="52">
        <v>271</v>
      </c>
      <c r="F55" s="52">
        <v>385</v>
      </c>
      <c r="G55" s="52">
        <v>626</v>
      </c>
      <c r="H55" s="52">
        <v>2</v>
      </c>
      <c r="I55" s="52">
        <f>SUM(weekly_deaths_by_location[[#This Row],[Care Home
COVID-19 mentioned]:[Other institution
COVID-19 mentioned]])</f>
        <v>227</v>
      </c>
      <c r="J55" s="52">
        <v>63</v>
      </c>
      <c r="K55" s="52">
        <v>8</v>
      </c>
      <c r="L55" s="52">
        <v>156</v>
      </c>
      <c r="M55" s="52">
        <v>0</v>
      </c>
    </row>
    <row r="56" spans="1:13" ht="16.149999999999999" customHeight="1" x14ac:dyDescent="0.35">
      <c r="A56" s="14" t="s">
        <v>85</v>
      </c>
      <c r="B56" s="15">
        <v>51</v>
      </c>
      <c r="C56" s="16">
        <v>44179</v>
      </c>
      <c r="D56" s="59">
        <f>SUM(weekly_deaths_by_location[[#This Row],[Care Home
all causes]:[Other institution
all causes]])</f>
        <v>1297</v>
      </c>
      <c r="E56" s="52">
        <v>293</v>
      </c>
      <c r="F56" s="52">
        <v>416</v>
      </c>
      <c r="G56" s="52">
        <v>586</v>
      </c>
      <c r="H56" s="52">
        <v>2</v>
      </c>
      <c r="I56" s="52">
        <f>SUM(weekly_deaths_by_location[[#This Row],[Care Home
COVID-19 mentioned]:[Other institution
COVID-19 mentioned]])</f>
        <v>208</v>
      </c>
      <c r="J56" s="52">
        <v>74</v>
      </c>
      <c r="K56" s="52">
        <v>8</v>
      </c>
      <c r="L56" s="52">
        <v>126</v>
      </c>
      <c r="M56" s="52">
        <v>0</v>
      </c>
    </row>
    <row r="57" spans="1:13" ht="16.149999999999999" customHeight="1" x14ac:dyDescent="0.35">
      <c r="A57" s="14" t="s">
        <v>85</v>
      </c>
      <c r="B57" s="15">
        <v>52</v>
      </c>
      <c r="C57" s="16">
        <v>44186</v>
      </c>
      <c r="D57" s="59">
        <f>SUM(weekly_deaths_by_location[[#This Row],[Care Home
all causes]:[Other institution
all causes]])</f>
        <v>1205</v>
      </c>
      <c r="E57" s="52">
        <v>275</v>
      </c>
      <c r="F57" s="52">
        <v>361</v>
      </c>
      <c r="G57" s="52">
        <v>564</v>
      </c>
      <c r="H57" s="52">
        <v>5</v>
      </c>
      <c r="I57" s="52">
        <f>SUM(weekly_deaths_by_location[[#This Row],[Care Home
COVID-19 mentioned]:[Other institution
COVID-19 mentioned]])</f>
        <v>203</v>
      </c>
      <c r="J57" s="52">
        <v>61</v>
      </c>
      <c r="K57" s="52">
        <v>11</v>
      </c>
      <c r="L57" s="52">
        <v>130</v>
      </c>
      <c r="M57" s="52">
        <v>1</v>
      </c>
    </row>
    <row r="58" spans="1:13" ht="16.149999999999999" customHeight="1" x14ac:dyDescent="0.35">
      <c r="A58" s="11" t="s">
        <v>85</v>
      </c>
      <c r="B58" s="15">
        <v>53</v>
      </c>
      <c r="C58" s="16">
        <v>44193</v>
      </c>
      <c r="D58" s="59">
        <f>SUM(weekly_deaths_by_location[[#This Row],[Care Home
all causes]:[Other institution
all causes]])</f>
        <v>1178</v>
      </c>
      <c r="E58" s="52">
        <v>252</v>
      </c>
      <c r="F58" s="52">
        <v>374</v>
      </c>
      <c r="G58" s="52">
        <v>550</v>
      </c>
      <c r="H58" s="52">
        <v>2</v>
      </c>
      <c r="I58" s="52">
        <f>SUM(weekly_deaths_by_location[[#This Row],[Care Home
COVID-19 mentioned]:[Other institution
COVID-19 mentioned]])</f>
        <v>187</v>
      </c>
      <c r="J58" s="52">
        <v>63</v>
      </c>
      <c r="K58" s="52">
        <v>9</v>
      </c>
      <c r="L58" s="52">
        <v>115</v>
      </c>
      <c r="M58" s="52">
        <v>0</v>
      </c>
    </row>
    <row r="59" spans="1:13" x14ac:dyDescent="0.35">
      <c r="A59" s="75" t="s">
        <v>179</v>
      </c>
      <c r="B59" s="69" t="s">
        <v>179</v>
      </c>
      <c r="C59" s="69" t="s">
        <v>179</v>
      </c>
      <c r="D59" s="76">
        <f>SUBTOTAL(109,weekly_deaths_by_location[All locations
all causes])</f>
        <v>64823</v>
      </c>
      <c r="E59" s="77">
        <f>SUBTOTAL(109,weekly_deaths_by_location[Care Home
all causes])</f>
        <v>15886</v>
      </c>
      <c r="F59" s="77">
        <f>SUBTOTAL(109,weekly_deaths_by_location[Home / Non-institution
all causes])</f>
        <v>20708</v>
      </c>
      <c r="G59" s="77">
        <f>SUBTOTAL(109,weekly_deaths_by_location[Hospital
all causes])</f>
        <v>27970</v>
      </c>
      <c r="H59" s="77">
        <f>SUBTOTAL(109,weekly_deaths_by_location[Other institution
all causes])</f>
        <v>259</v>
      </c>
      <c r="I59" s="77">
        <f>SUBTOTAL(109,weekly_deaths_by_location[All locations
COVID-19 mentioned])</f>
        <v>6702</v>
      </c>
      <c r="J59" s="77">
        <f>SUBTOTAL(109,weekly_deaths_by_location[Care Home
COVID-19 mentioned])</f>
        <v>2656</v>
      </c>
      <c r="K59" s="77">
        <f>SUBTOTAL(109,weekly_deaths_by_location[Home / Non-institution
COVID-19 mentioned])</f>
        <v>419</v>
      </c>
      <c r="L59" s="77">
        <f>SUBTOTAL(109,weekly_deaths_by_location[Hospital
COVID-19 mentioned])</f>
        <v>3616</v>
      </c>
      <c r="M59" s="78">
        <f>SUBTOTAL(109,weekly_deaths_by_location[Other institution
COVID-19 mentioned])</f>
        <v>11</v>
      </c>
    </row>
  </sheetData>
  <hyperlinks>
    <hyperlink ref="A4" location="Contents!A1" display="Back to table of contents" xr:uid="{00000000-0004-0000-0900-000000000000}"/>
  </hyperlink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88"/>
  <sheetViews>
    <sheetView zoomScaleNormal="100" workbookViewId="0"/>
  </sheetViews>
  <sheetFormatPr defaultColWidth="9.26953125" defaultRowHeight="15.5" x14ac:dyDescent="0.35"/>
  <cols>
    <col min="1" max="12" width="16.7265625" style="5" customWidth="1"/>
    <col min="13" max="16" width="16.7265625" style="18" customWidth="1"/>
    <col min="17" max="18" width="16.7265625" style="5" customWidth="1"/>
    <col min="19" max="19" width="16.7265625" style="18" customWidth="1"/>
    <col min="20" max="22" width="16.7265625" style="5" customWidth="1"/>
    <col min="23" max="23" width="9.26953125" style="5"/>
    <col min="24" max="16384" width="9.26953125" style="10"/>
  </cols>
  <sheetData>
    <row r="1" spans="1:23" s="5" customFormat="1" x14ac:dyDescent="0.35">
      <c r="A1" s="4" t="s">
        <v>170</v>
      </c>
      <c r="M1" s="18"/>
      <c r="N1" s="18"/>
      <c r="O1" s="18"/>
      <c r="P1" s="18"/>
      <c r="S1" s="18"/>
    </row>
    <row r="2" spans="1:23" s="5" customFormat="1" x14ac:dyDescent="0.35">
      <c r="A2" s="6" t="s">
        <v>148</v>
      </c>
      <c r="M2" s="18"/>
      <c r="N2" s="18"/>
      <c r="O2" s="18"/>
      <c r="P2" s="18"/>
      <c r="S2" s="18"/>
    </row>
    <row r="3" spans="1:23" s="5" customFormat="1" x14ac:dyDescent="0.35">
      <c r="A3" s="6" t="s">
        <v>60</v>
      </c>
      <c r="M3" s="18"/>
      <c r="N3" s="18"/>
      <c r="O3" s="18"/>
      <c r="P3" s="18"/>
      <c r="S3" s="18"/>
    </row>
    <row r="4" spans="1:23" s="5" customFormat="1" ht="30" customHeight="1" x14ac:dyDescent="0.35">
      <c r="A4" s="63" t="s">
        <v>53</v>
      </c>
      <c r="M4" s="18"/>
      <c r="N4" s="18"/>
      <c r="O4" s="18"/>
      <c r="P4" s="18"/>
      <c r="S4" s="18"/>
    </row>
    <row r="5" spans="1:23" ht="42" customHeight="1" x14ac:dyDescent="0.35">
      <c r="A5" s="22" t="s">
        <v>156</v>
      </c>
      <c r="B5" s="23"/>
      <c r="E5" s="24"/>
      <c r="F5" s="24"/>
    </row>
    <row r="6" spans="1:23" ht="62.5" thickBot="1" x14ac:dyDescent="0.4">
      <c r="A6" s="7" t="s">
        <v>63</v>
      </c>
      <c r="B6" s="13" t="s">
        <v>57</v>
      </c>
      <c r="C6" s="13" t="s">
        <v>86</v>
      </c>
      <c r="D6" s="8" t="s">
        <v>80</v>
      </c>
      <c r="E6" s="9" t="s">
        <v>134</v>
      </c>
      <c r="F6" s="9" t="s">
        <v>139</v>
      </c>
      <c r="G6" s="7" t="s">
        <v>81</v>
      </c>
      <c r="H6" s="9" t="s">
        <v>135</v>
      </c>
      <c r="I6" s="9" t="s">
        <v>136</v>
      </c>
      <c r="J6" s="9" t="s">
        <v>84</v>
      </c>
      <c r="K6" s="9" t="s">
        <v>137</v>
      </c>
      <c r="L6" s="9" t="s">
        <v>138</v>
      </c>
      <c r="M6" s="9" t="s">
        <v>145</v>
      </c>
      <c r="N6" s="9" t="s">
        <v>146</v>
      </c>
      <c r="O6" s="9" t="s">
        <v>147</v>
      </c>
      <c r="P6" s="9" t="s">
        <v>82</v>
      </c>
      <c r="Q6" s="9" t="s">
        <v>140</v>
      </c>
      <c r="R6" s="9" t="s">
        <v>141</v>
      </c>
      <c r="S6" s="9" t="s">
        <v>83</v>
      </c>
      <c r="T6" s="9" t="s">
        <v>88</v>
      </c>
      <c r="U6" s="9" t="s">
        <v>142</v>
      </c>
      <c r="V6" s="26" t="s">
        <v>143</v>
      </c>
      <c r="W6" s="10"/>
    </row>
    <row r="7" spans="1:23" ht="30" customHeight="1" x14ac:dyDescent="0.35">
      <c r="A7" s="14" t="s">
        <v>85</v>
      </c>
      <c r="B7" s="15">
        <v>1</v>
      </c>
      <c r="C7" s="16">
        <v>43829</v>
      </c>
      <c r="D7" s="56">
        <v>1161</v>
      </c>
      <c r="E7" s="1">
        <v>1276</v>
      </c>
      <c r="F7" s="1">
        <f>weekly_deaths_location_cause_and_excess_deaths[[#This Row],[All causes]]-weekly_deaths_location_cause_and_excess_deaths[[#This Row],[All causes five year average]]</f>
        <v>-115</v>
      </c>
      <c r="G7" s="1">
        <v>308</v>
      </c>
      <c r="H7" s="1">
        <v>328</v>
      </c>
      <c r="I7" s="1">
        <f>weekly_deaths_location_cause_and_excess_deaths[[#This Row],[Cancer deaths]]-weekly_deaths_location_cause_and_excess_deaths[[#This Row],[Cancer five year average]]</f>
        <v>-20</v>
      </c>
      <c r="J7" s="1">
        <v>147</v>
      </c>
      <c r="K7" s="1">
        <v>148</v>
      </c>
      <c r="L7" s="1">
        <f>weekly_deaths_location_cause_and_excess_deaths[[#This Row],[Dementia / Alzhemier''s deaths]]-weekly_deaths_location_cause_and_excess_deaths[[#This Row],[Dementia / Alzheimer''s five year average]]</f>
        <v>-1</v>
      </c>
      <c r="M7" s="25">
        <v>312</v>
      </c>
      <c r="N7" s="25">
        <v>324</v>
      </c>
      <c r="O7" s="25">
        <f>weekly_deaths_location_cause_and_excess_deaths[[#This Row],[Circulatory deaths]]-weekly_deaths_location_cause_and_excess_deaths[[#This Row],[Circulatory five year average]]</f>
        <v>-12</v>
      </c>
      <c r="P7" s="1">
        <v>163</v>
      </c>
      <c r="Q7" s="1">
        <v>205</v>
      </c>
      <c r="R7" s="2">
        <f>weekly_deaths_location_cause_and_excess_deaths[[#This Row],[Respiratory deaths]]-weekly_deaths_location_cause_and_excess_deaths[[#This Row],[Respiratory five year average]]</f>
        <v>-42</v>
      </c>
      <c r="S7" s="1">
        <v>0</v>
      </c>
      <c r="T7" s="1">
        <v>231</v>
      </c>
      <c r="U7" s="1">
        <v>271</v>
      </c>
      <c r="V7" s="2">
        <f>weekly_deaths_location_cause_and_excess_deaths[[#This Row],[Other causes]]-weekly_deaths_location_cause_and_excess_deaths[[#This Row],[Other causes five year average]]</f>
        <v>-40</v>
      </c>
      <c r="W7" s="10"/>
    </row>
    <row r="8" spans="1:23" x14ac:dyDescent="0.35">
      <c r="A8" s="14" t="s">
        <v>85</v>
      </c>
      <c r="B8" s="15">
        <v>2</v>
      </c>
      <c r="C8" s="16">
        <v>43836</v>
      </c>
      <c r="D8" s="57">
        <v>1567</v>
      </c>
      <c r="E8" s="2">
        <v>1560</v>
      </c>
      <c r="F8" s="2">
        <f>weekly_deaths_location_cause_and_excess_deaths[[#This Row],[All causes]]-weekly_deaths_location_cause_and_excess_deaths[[#This Row],[All causes five year average]]</f>
        <v>7</v>
      </c>
      <c r="G8" s="2">
        <v>379</v>
      </c>
      <c r="H8" s="2">
        <v>359</v>
      </c>
      <c r="I8" s="2">
        <f>weekly_deaths_location_cause_and_excess_deaths[[#This Row],[Cancer deaths]]-weekly_deaths_location_cause_and_excess_deaths[[#This Row],[Cancer five year average]]</f>
        <v>20</v>
      </c>
      <c r="J8" s="2">
        <v>211</v>
      </c>
      <c r="K8" s="2">
        <v>173</v>
      </c>
      <c r="L8" s="2">
        <f>weekly_deaths_location_cause_and_excess_deaths[[#This Row],[Dementia / Alzhemier''s deaths]]-weekly_deaths_location_cause_and_excess_deaths[[#This Row],[Dementia / Alzheimer''s five year average]]</f>
        <v>38</v>
      </c>
      <c r="M8" s="25">
        <v>388</v>
      </c>
      <c r="N8" s="25">
        <v>418</v>
      </c>
      <c r="O8" s="25">
        <f>weekly_deaths_location_cause_and_excess_deaths[[#This Row],[Circulatory deaths]]-weekly_deaths_location_cause_and_excess_deaths[[#This Row],[Circulatory five year average]]</f>
        <v>-30</v>
      </c>
      <c r="P8" s="25">
        <v>230</v>
      </c>
      <c r="Q8" s="25">
        <v>268</v>
      </c>
      <c r="R8" s="2">
        <f>weekly_deaths_location_cause_and_excess_deaths[[#This Row],[Respiratory deaths]]-weekly_deaths_location_cause_and_excess_deaths[[#This Row],[Respiratory five year average]]</f>
        <v>-38</v>
      </c>
      <c r="S8" s="25">
        <v>0</v>
      </c>
      <c r="T8" s="25">
        <v>359</v>
      </c>
      <c r="U8" s="25">
        <v>341</v>
      </c>
      <c r="V8" s="2">
        <f>weekly_deaths_location_cause_and_excess_deaths[[#This Row],[Other causes]]-weekly_deaths_location_cause_and_excess_deaths[[#This Row],[Other causes five year average]]</f>
        <v>18</v>
      </c>
      <c r="W8" s="10"/>
    </row>
    <row r="9" spans="1:23" x14ac:dyDescent="0.35">
      <c r="A9" s="14" t="s">
        <v>85</v>
      </c>
      <c r="B9" s="15">
        <v>3</v>
      </c>
      <c r="C9" s="16">
        <v>43843</v>
      </c>
      <c r="D9" s="57">
        <v>1322</v>
      </c>
      <c r="E9" s="2">
        <v>1382</v>
      </c>
      <c r="F9" s="2">
        <f>weekly_deaths_location_cause_and_excess_deaths[[#This Row],[All causes]]-weekly_deaths_location_cause_and_excess_deaths[[#This Row],[All causes five year average]]</f>
        <v>-60</v>
      </c>
      <c r="G9" s="2">
        <v>332</v>
      </c>
      <c r="H9" s="2">
        <v>321</v>
      </c>
      <c r="I9" s="2">
        <f>weekly_deaths_location_cause_and_excess_deaths[[#This Row],[Cancer deaths]]-weekly_deaths_location_cause_and_excess_deaths[[#This Row],[Cancer five year average]]</f>
        <v>11</v>
      </c>
      <c r="J9" s="2">
        <v>155</v>
      </c>
      <c r="K9" s="2">
        <v>161</v>
      </c>
      <c r="L9" s="2">
        <f>weekly_deaths_location_cause_and_excess_deaths[[#This Row],[Dementia / Alzhemier''s deaths]]-weekly_deaths_location_cause_and_excess_deaths[[#This Row],[Dementia / Alzheimer''s five year average]]</f>
        <v>-6</v>
      </c>
      <c r="M9" s="25">
        <v>330</v>
      </c>
      <c r="N9" s="25">
        <v>369</v>
      </c>
      <c r="O9" s="25">
        <f>weekly_deaths_location_cause_and_excess_deaths[[#This Row],[Circulatory deaths]]-weekly_deaths_location_cause_and_excess_deaths[[#This Row],[Circulatory five year average]]</f>
        <v>-39</v>
      </c>
      <c r="P9" s="25">
        <v>193</v>
      </c>
      <c r="Q9" s="25">
        <v>228</v>
      </c>
      <c r="R9" s="2">
        <f>weekly_deaths_location_cause_and_excess_deaths[[#This Row],[Respiratory deaths]]-weekly_deaths_location_cause_and_excess_deaths[[#This Row],[Respiratory five year average]]</f>
        <v>-35</v>
      </c>
      <c r="S9" s="25">
        <v>0</v>
      </c>
      <c r="T9" s="25">
        <v>312</v>
      </c>
      <c r="U9" s="25">
        <v>303</v>
      </c>
      <c r="V9" s="2">
        <f>weekly_deaths_location_cause_and_excess_deaths[[#This Row],[Other causes]]-weekly_deaths_location_cause_and_excess_deaths[[#This Row],[Other causes five year average]]</f>
        <v>9</v>
      </c>
      <c r="W9" s="10"/>
    </row>
    <row r="10" spans="1:23" x14ac:dyDescent="0.35">
      <c r="A10" s="14" t="s">
        <v>85</v>
      </c>
      <c r="B10" s="15">
        <v>4</v>
      </c>
      <c r="C10" s="16">
        <v>43850</v>
      </c>
      <c r="D10" s="57">
        <v>1226</v>
      </c>
      <c r="E10" s="2">
        <v>1317</v>
      </c>
      <c r="F10" s="2">
        <f>weekly_deaths_location_cause_and_excess_deaths[[#This Row],[All causes]]-weekly_deaths_location_cause_and_excess_deaths[[#This Row],[All causes five year average]]</f>
        <v>-91</v>
      </c>
      <c r="G10" s="2">
        <v>310</v>
      </c>
      <c r="H10" s="2">
        <v>326</v>
      </c>
      <c r="I10" s="2">
        <f>weekly_deaths_location_cause_and_excess_deaths[[#This Row],[Cancer deaths]]-weekly_deaths_location_cause_and_excess_deaths[[#This Row],[Cancer five year average]]</f>
        <v>-16</v>
      </c>
      <c r="J10" s="2">
        <v>137</v>
      </c>
      <c r="K10" s="2">
        <v>152</v>
      </c>
      <c r="L10" s="2">
        <f>weekly_deaths_location_cause_and_excess_deaths[[#This Row],[Dementia / Alzhemier''s deaths]]-weekly_deaths_location_cause_and_excess_deaths[[#This Row],[Dementia / Alzheimer''s five year average]]</f>
        <v>-15</v>
      </c>
      <c r="M10" s="25">
        <v>300</v>
      </c>
      <c r="N10" s="25">
        <v>345</v>
      </c>
      <c r="O10" s="25">
        <f>weekly_deaths_location_cause_and_excess_deaths[[#This Row],[Circulatory deaths]]-weekly_deaths_location_cause_and_excess_deaths[[#This Row],[Circulatory five year average]]</f>
        <v>-45</v>
      </c>
      <c r="P10" s="25">
        <v>155</v>
      </c>
      <c r="Q10" s="25">
        <v>203</v>
      </c>
      <c r="R10" s="2">
        <f>weekly_deaths_location_cause_and_excess_deaths[[#This Row],[Respiratory deaths]]-weekly_deaths_location_cause_and_excess_deaths[[#This Row],[Respiratory five year average]]</f>
        <v>-48</v>
      </c>
      <c r="S10" s="25">
        <v>0</v>
      </c>
      <c r="T10" s="25">
        <v>324</v>
      </c>
      <c r="U10" s="25">
        <v>291</v>
      </c>
      <c r="V10" s="2">
        <f>weekly_deaths_location_cause_and_excess_deaths[[#This Row],[Other causes]]-weekly_deaths_location_cause_and_excess_deaths[[#This Row],[Other causes five year average]]</f>
        <v>33</v>
      </c>
      <c r="W10" s="10"/>
    </row>
    <row r="11" spans="1:23" x14ac:dyDescent="0.35">
      <c r="A11" s="14" t="s">
        <v>85</v>
      </c>
      <c r="B11" s="15">
        <v>5</v>
      </c>
      <c r="C11" s="16">
        <v>43857</v>
      </c>
      <c r="D11" s="57">
        <v>1188</v>
      </c>
      <c r="E11" s="2">
        <v>1280</v>
      </c>
      <c r="F11" s="2">
        <f>weekly_deaths_location_cause_and_excess_deaths[[#This Row],[All causes]]-weekly_deaths_location_cause_and_excess_deaths[[#This Row],[All causes five year average]]</f>
        <v>-92</v>
      </c>
      <c r="G11" s="2">
        <v>327</v>
      </c>
      <c r="H11" s="2">
        <v>315</v>
      </c>
      <c r="I11" s="2">
        <f>weekly_deaths_location_cause_and_excess_deaths[[#This Row],[Cancer deaths]]-weekly_deaths_location_cause_and_excess_deaths[[#This Row],[Cancer five year average]]</f>
        <v>12</v>
      </c>
      <c r="J11" s="2">
        <v>155</v>
      </c>
      <c r="K11" s="2">
        <v>156</v>
      </c>
      <c r="L11" s="2">
        <f>weekly_deaths_location_cause_and_excess_deaths[[#This Row],[Dementia / Alzhemier''s deaths]]-weekly_deaths_location_cause_and_excess_deaths[[#This Row],[Dementia / Alzheimer''s five year average]]</f>
        <v>-1</v>
      </c>
      <c r="M11" s="25">
        <v>280</v>
      </c>
      <c r="N11" s="25">
        <v>326</v>
      </c>
      <c r="O11" s="25">
        <f>weekly_deaths_location_cause_and_excess_deaths[[#This Row],[Circulatory deaths]]-weekly_deaths_location_cause_and_excess_deaths[[#This Row],[Circulatory five year average]]</f>
        <v>-46</v>
      </c>
      <c r="P11" s="25">
        <v>141</v>
      </c>
      <c r="Q11" s="25">
        <v>194</v>
      </c>
      <c r="R11" s="2">
        <f>weekly_deaths_location_cause_and_excess_deaths[[#This Row],[Respiratory deaths]]-weekly_deaths_location_cause_and_excess_deaths[[#This Row],[Respiratory five year average]]</f>
        <v>-53</v>
      </c>
      <c r="S11" s="25">
        <v>0</v>
      </c>
      <c r="T11" s="25">
        <v>285</v>
      </c>
      <c r="U11" s="25">
        <v>289</v>
      </c>
      <c r="V11" s="2">
        <f>weekly_deaths_location_cause_and_excess_deaths[[#This Row],[Other causes]]-weekly_deaths_location_cause_and_excess_deaths[[#This Row],[Other causes five year average]]</f>
        <v>-4</v>
      </c>
      <c r="W11" s="10"/>
    </row>
    <row r="12" spans="1:23" x14ac:dyDescent="0.35">
      <c r="A12" s="14" t="s">
        <v>85</v>
      </c>
      <c r="B12" s="15">
        <v>6</v>
      </c>
      <c r="C12" s="16">
        <v>43864</v>
      </c>
      <c r="D12" s="57">
        <v>1216</v>
      </c>
      <c r="E12" s="2">
        <v>1254</v>
      </c>
      <c r="F12" s="2">
        <f>weekly_deaths_location_cause_and_excess_deaths[[#This Row],[All causes]]-weekly_deaths_location_cause_and_excess_deaths[[#This Row],[All causes five year average]]</f>
        <v>-38</v>
      </c>
      <c r="G12" s="2">
        <v>336</v>
      </c>
      <c r="H12" s="2">
        <v>322</v>
      </c>
      <c r="I12" s="2">
        <f>weekly_deaths_location_cause_and_excess_deaths[[#This Row],[Cancer deaths]]-weekly_deaths_location_cause_and_excess_deaths[[#This Row],[Cancer five year average]]</f>
        <v>14</v>
      </c>
      <c r="J12" s="2">
        <v>133</v>
      </c>
      <c r="K12" s="2">
        <v>148</v>
      </c>
      <c r="L12" s="2">
        <f>weekly_deaths_location_cause_and_excess_deaths[[#This Row],[Dementia / Alzhemier''s deaths]]-weekly_deaths_location_cause_and_excess_deaths[[#This Row],[Dementia / Alzheimer''s five year average]]</f>
        <v>-15</v>
      </c>
      <c r="M12" s="25">
        <v>340</v>
      </c>
      <c r="N12" s="25">
        <v>315</v>
      </c>
      <c r="O12" s="25">
        <f>weekly_deaths_location_cause_and_excess_deaths[[#This Row],[Circulatory deaths]]-weekly_deaths_location_cause_and_excess_deaths[[#This Row],[Circulatory five year average]]</f>
        <v>25</v>
      </c>
      <c r="P12" s="25">
        <v>121</v>
      </c>
      <c r="Q12" s="25">
        <v>185</v>
      </c>
      <c r="R12" s="2">
        <f>weekly_deaths_location_cause_and_excess_deaths[[#This Row],[Respiratory deaths]]-weekly_deaths_location_cause_and_excess_deaths[[#This Row],[Respiratory five year average]]</f>
        <v>-64</v>
      </c>
      <c r="S12" s="25">
        <v>0</v>
      </c>
      <c r="T12" s="25">
        <v>286</v>
      </c>
      <c r="U12" s="25">
        <v>284</v>
      </c>
      <c r="V12" s="2">
        <f>weekly_deaths_location_cause_and_excess_deaths[[#This Row],[Other causes]]-weekly_deaths_location_cause_and_excess_deaths[[#This Row],[Other causes five year average]]</f>
        <v>2</v>
      </c>
      <c r="W12" s="10"/>
    </row>
    <row r="13" spans="1:23" x14ac:dyDescent="0.35">
      <c r="A13" s="14" t="s">
        <v>85</v>
      </c>
      <c r="B13" s="15">
        <v>7</v>
      </c>
      <c r="C13" s="16">
        <v>43871</v>
      </c>
      <c r="D13" s="57">
        <v>1162</v>
      </c>
      <c r="E13" s="2">
        <v>1259</v>
      </c>
      <c r="F13" s="2">
        <f>weekly_deaths_location_cause_and_excess_deaths[[#This Row],[All causes]]-weekly_deaths_location_cause_and_excess_deaths[[#This Row],[All causes five year average]]</f>
        <v>-97</v>
      </c>
      <c r="G13" s="2">
        <v>323</v>
      </c>
      <c r="H13" s="2">
        <v>329</v>
      </c>
      <c r="I13" s="2">
        <f>weekly_deaths_location_cause_and_excess_deaths[[#This Row],[Cancer deaths]]-weekly_deaths_location_cause_and_excess_deaths[[#This Row],[Cancer five year average]]</f>
        <v>-6</v>
      </c>
      <c r="J13" s="2">
        <v>120</v>
      </c>
      <c r="K13" s="2">
        <v>137</v>
      </c>
      <c r="L13" s="2">
        <f>weekly_deaths_location_cause_and_excess_deaths[[#This Row],[Dementia / Alzhemier''s deaths]]-weekly_deaths_location_cause_and_excess_deaths[[#This Row],[Dementia / Alzheimer''s five year average]]</f>
        <v>-17</v>
      </c>
      <c r="M13" s="25">
        <v>284</v>
      </c>
      <c r="N13" s="25">
        <v>327</v>
      </c>
      <c r="O13" s="25">
        <f>weekly_deaths_location_cause_and_excess_deaths[[#This Row],[Circulatory deaths]]-weekly_deaths_location_cause_and_excess_deaths[[#This Row],[Circulatory five year average]]</f>
        <v>-43</v>
      </c>
      <c r="P13" s="25">
        <v>138</v>
      </c>
      <c r="Q13" s="25">
        <v>181</v>
      </c>
      <c r="R13" s="2">
        <f>weekly_deaths_location_cause_and_excess_deaths[[#This Row],[Respiratory deaths]]-weekly_deaths_location_cause_and_excess_deaths[[#This Row],[Respiratory five year average]]</f>
        <v>-43</v>
      </c>
      <c r="S13" s="25">
        <v>0</v>
      </c>
      <c r="T13" s="25">
        <v>297</v>
      </c>
      <c r="U13" s="25">
        <v>286</v>
      </c>
      <c r="V13" s="2">
        <f>weekly_deaths_location_cause_and_excess_deaths[[#This Row],[Other causes]]-weekly_deaths_location_cause_and_excess_deaths[[#This Row],[Other causes five year average]]</f>
        <v>11</v>
      </c>
      <c r="W13" s="10"/>
    </row>
    <row r="14" spans="1:23" x14ac:dyDescent="0.35">
      <c r="A14" s="14" t="s">
        <v>85</v>
      </c>
      <c r="B14" s="15">
        <v>8</v>
      </c>
      <c r="C14" s="16">
        <v>43878</v>
      </c>
      <c r="D14" s="57">
        <v>1162</v>
      </c>
      <c r="E14" s="2">
        <v>1247</v>
      </c>
      <c r="F14" s="2">
        <f>weekly_deaths_location_cause_and_excess_deaths[[#This Row],[All causes]]-weekly_deaths_location_cause_and_excess_deaths[[#This Row],[All causes five year average]]</f>
        <v>-85</v>
      </c>
      <c r="G14" s="2">
        <v>318</v>
      </c>
      <c r="H14" s="2">
        <v>319</v>
      </c>
      <c r="I14" s="2">
        <f>weekly_deaths_location_cause_and_excess_deaths[[#This Row],[Cancer deaths]]-weekly_deaths_location_cause_and_excess_deaths[[#This Row],[Cancer five year average]]</f>
        <v>-1</v>
      </c>
      <c r="J14" s="2">
        <v>115</v>
      </c>
      <c r="K14" s="2">
        <v>137</v>
      </c>
      <c r="L14" s="2">
        <f>weekly_deaths_location_cause_and_excess_deaths[[#This Row],[Dementia / Alzhemier''s deaths]]-weekly_deaths_location_cause_and_excess_deaths[[#This Row],[Dementia / Alzheimer''s five year average]]</f>
        <v>-22</v>
      </c>
      <c r="M14" s="25">
        <v>313</v>
      </c>
      <c r="N14" s="25">
        <v>323</v>
      </c>
      <c r="O14" s="25">
        <f>weekly_deaths_location_cause_and_excess_deaths[[#This Row],[Circulatory deaths]]-weekly_deaths_location_cause_and_excess_deaths[[#This Row],[Circulatory five year average]]</f>
        <v>-10</v>
      </c>
      <c r="P14" s="25">
        <v>134</v>
      </c>
      <c r="Q14" s="25">
        <v>191</v>
      </c>
      <c r="R14" s="2">
        <f>weekly_deaths_location_cause_and_excess_deaths[[#This Row],[Respiratory deaths]]-weekly_deaths_location_cause_and_excess_deaths[[#This Row],[Respiratory five year average]]</f>
        <v>-57</v>
      </c>
      <c r="S14" s="25">
        <v>0</v>
      </c>
      <c r="T14" s="25">
        <v>282</v>
      </c>
      <c r="U14" s="25">
        <v>277</v>
      </c>
      <c r="V14" s="2">
        <f>weekly_deaths_location_cause_and_excess_deaths[[#This Row],[Other causes]]-weekly_deaths_location_cause_and_excess_deaths[[#This Row],[Other causes five year average]]</f>
        <v>5</v>
      </c>
      <c r="W14" s="10"/>
    </row>
    <row r="15" spans="1:23" x14ac:dyDescent="0.35">
      <c r="A15" s="14" t="s">
        <v>85</v>
      </c>
      <c r="B15" s="15">
        <v>9</v>
      </c>
      <c r="C15" s="16">
        <v>43885</v>
      </c>
      <c r="D15" s="57">
        <v>1171</v>
      </c>
      <c r="E15" s="2">
        <v>1165</v>
      </c>
      <c r="F15" s="2">
        <f>weekly_deaths_location_cause_and_excess_deaths[[#This Row],[All causes]]-weekly_deaths_location_cause_and_excess_deaths[[#This Row],[All causes five year average]]</f>
        <v>6</v>
      </c>
      <c r="G15" s="2">
        <v>303</v>
      </c>
      <c r="H15" s="2">
        <v>303</v>
      </c>
      <c r="I15" s="2">
        <f>weekly_deaths_location_cause_and_excess_deaths[[#This Row],[Cancer deaths]]-weekly_deaths_location_cause_and_excess_deaths[[#This Row],[Cancer five year average]]</f>
        <v>0</v>
      </c>
      <c r="J15" s="2">
        <v>117</v>
      </c>
      <c r="K15" s="2">
        <v>134</v>
      </c>
      <c r="L15" s="2">
        <f>weekly_deaths_location_cause_and_excess_deaths[[#This Row],[Dementia / Alzhemier''s deaths]]-weekly_deaths_location_cause_and_excess_deaths[[#This Row],[Dementia / Alzheimer''s five year average]]</f>
        <v>-17</v>
      </c>
      <c r="M15" s="25">
        <v>317</v>
      </c>
      <c r="N15" s="25">
        <v>304</v>
      </c>
      <c r="O15" s="25">
        <f>weekly_deaths_location_cause_and_excess_deaths[[#This Row],[Circulatory deaths]]-weekly_deaths_location_cause_and_excess_deaths[[#This Row],[Circulatory five year average]]</f>
        <v>13</v>
      </c>
      <c r="P15" s="25">
        <v>132</v>
      </c>
      <c r="Q15" s="25">
        <v>172</v>
      </c>
      <c r="R15" s="2">
        <f>weekly_deaths_location_cause_and_excess_deaths[[#This Row],[Respiratory deaths]]-weekly_deaths_location_cause_and_excess_deaths[[#This Row],[Respiratory five year average]]</f>
        <v>-40</v>
      </c>
      <c r="S15" s="25">
        <v>0</v>
      </c>
      <c r="T15" s="25">
        <v>302</v>
      </c>
      <c r="U15" s="25">
        <v>252</v>
      </c>
      <c r="V15" s="2">
        <f>weekly_deaths_location_cause_and_excess_deaths[[#This Row],[Other causes]]-weekly_deaths_location_cause_and_excess_deaths[[#This Row],[Other causes five year average]]</f>
        <v>50</v>
      </c>
      <c r="W15" s="10"/>
    </row>
    <row r="16" spans="1:23" x14ac:dyDescent="0.35">
      <c r="A16" s="14" t="s">
        <v>85</v>
      </c>
      <c r="B16" s="15">
        <v>10</v>
      </c>
      <c r="C16" s="16">
        <v>43892</v>
      </c>
      <c r="D16" s="57">
        <v>1208</v>
      </c>
      <c r="E16" s="2">
        <v>1229</v>
      </c>
      <c r="F16" s="2">
        <f>weekly_deaths_location_cause_and_excess_deaths[[#This Row],[All causes]]-weekly_deaths_location_cause_and_excess_deaths[[#This Row],[All causes five year average]]</f>
        <v>-21</v>
      </c>
      <c r="G16" s="2">
        <v>296</v>
      </c>
      <c r="H16" s="2">
        <v>324</v>
      </c>
      <c r="I16" s="2">
        <f>weekly_deaths_location_cause_and_excess_deaths[[#This Row],[Cancer deaths]]-weekly_deaths_location_cause_and_excess_deaths[[#This Row],[Cancer five year average]]</f>
        <v>-28</v>
      </c>
      <c r="J16" s="2">
        <v>164</v>
      </c>
      <c r="K16" s="2">
        <v>134</v>
      </c>
      <c r="L16" s="2">
        <f>weekly_deaths_location_cause_and_excess_deaths[[#This Row],[Dementia / Alzhemier''s deaths]]-weekly_deaths_location_cause_and_excess_deaths[[#This Row],[Dementia / Alzheimer''s five year average]]</f>
        <v>30</v>
      </c>
      <c r="M16" s="25">
        <v>317</v>
      </c>
      <c r="N16" s="25">
        <v>331</v>
      </c>
      <c r="O16" s="25">
        <f>weekly_deaths_location_cause_and_excess_deaths[[#This Row],[Circulatory deaths]]-weekly_deaths_location_cause_and_excess_deaths[[#This Row],[Circulatory five year average]]</f>
        <v>-14</v>
      </c>
      <c r="P16" s="25">
        <v>132</v>
      </c>
      <c r="Q16" s="25">
        <v>158</v>
      </c>
      <c r="R16" s="2">
        <f>weekly_deaths_location_cause_and_excess_deaths[[#This Row],[Respiratory deaths]]-weekly_deaths_location_cause_and_excess_deaths[[#This Row],[Respiratory five year average]]</f>
        <v>-26</v>
      </c>
      <c r="S16" s="25">
        <v>0</v>
      </c>
      <c r="T16" s="25">
        <v>299</v>
      </c>
      <c r="U16" s="25">
        <v>282</v>
      </c>
      <c r="V16" s="2">
        <f>weekly_deaths_location_cause_and_excess_deaths[[#This Row],[Other causes]]-weekly_deaths_location_cause_and_excess_deaths[[#This Row],[Other causes five year average]]</f>
        <v>17</v>
      </c>
      <c r="W16" s="10"/>
    </row>
    <row r="17" spans="1:23" x14ac:dyDescent="0.35">
      <c r="A17" s="14" t="s">
        <v>85</v>
      </c>
      <c r="B17" s="15">
        <v>11</v>
      </c>
      <c r="C17" s="16">
        <v>43899</v>
      </c>
      <c r="D17" s="57">
        <v>1198</v>
      </c>
      <c r="E17" s="2">
        <v>1169</v>
      </c>
      <c r="F17" s="2">
        <f>weekly_deaths_location_cause_and_excess_deaths[[#This Row],[All causes]]-weekly_deaths_location_cause_and_excess_deaths[[#This Row],[All causes five year average]]</f>
        <v>29</v>
      </c>
      <c r="G17" s="2">
        <v>324</v>
      </c>
      <c r="H17" s="2">
        <v>314</v>
      </c>
      <c r="I17" s="25">
        <f>weekly_deaths_location_cause_and_excess_deaths[[#This Row],[Cancer deaths]]-weekly_deaths_location_cause_and_excess_deaths[[#This Row],[Cancer five year average]]</f>
        <v>10</v>
      </c>
      <c r="J17" s="25">
        <v>135</v>
      </c>
      <c r="K17" s="25">
        <v>126</v>
      </c>
      <c r="L17" s="25">
        <f>weekly_deaths_location_cause_and_excess_deaths[[#This Row],[Dementia / Alzhemier''s deaths]]-weekly_deaths_location_cause_and_excess_deaths[[#This Row],[Dementia / Alzheimer''s five year average]]</f>
        <v>9</v>
      </c>
      <c r="M17" s="25">
        <v>335</v>
      </c>
      <c r="N17" s="25">
        <v>306</v>
      </c>
      <c r="O17" s="25">
        <f>weekly_deaths_location_cause_and_excess_deaths[[#This Row],[Circulatory deaths]]-weekly_deaths_location_cause_and_excess_deaths[[#This Row],[Circulatory five year average]]</f>
        <v>29</v>
      </c>
      <c r="P17" s="25">
        <v>124</v>
      </c>
      <c r="Q17" s="25">
        <v>162</v>
      </c>
      <c r="R17" s="2">
        <f>weekly_deaths_location_cause_and_excess_deaths[[#This Row],[Respiratory deaths]]-weekly_deaths_location_cause_and_excess_deaths[[#This Row],[Respiratory five year average]]</f>
        <v>-38</v>
      </c>
      <c r="S17" s="25">
        <v>0</v>
      </c>
      <c r="T17" s="25">
        <v>280</v>
      </c>
      <c r="U17" s="25">
        <v>261</v>
      </c>
      <c r="V17" s="2">
        <f>weekly_deaths_location_cause_and_excess_deaths[[#This Row],[Other causes]]-weekly_deaths_location_cause_and_excess_deaths[[#This Row],[Other causes five year average]]</f>
        <v>19</v>
      </c>
      <c r="W17" s="10"/>
    </row>
    <row r="18" spans="1:23" x14ac:dyDescent="0.35">
      <c r="A18" s="14" t="s">
        <v>85</v>
      </c>
      <c r="B18" s="15">
        <v>12</v>
      </c>
      <c r="C18" s="16">
        <v>43906</v>
      </c>
      <c r="D18" s="57">
        <v>1196</v>
      </c>
      <c r="E18" s="2">
        <v>1120</v>
      </c>
      <c r="F18" s="2">
        <f>weekly_deaths_location_cause_and_excess_deaths[[#This Row],[All causes]]-weekly_deaths_location_cause_and_excess_deaths[[#This Row],[All causes five year average]]</f>
        <v>76</v>
      </c>
      <c r="G18" s="2">
        <v>338</v>
      </c>
      <c r="H18" s="2">
        <v>295</v>
      </c>
      <c r="I18" s="25">
        <f>weekly_deaths_location_cause_and_excess_deaths[[#This Row],[Cancer deaths]]-weekly_deaths_location_cause_and_excess_deaths[[#This Row],[Cancer five year average]]</f>
        <v>43</v>
      </c>
      <c r="J18" s="25">
        <v>123</v>
      </c>
      <c r="K18" s="25">
        <v>118</v>
      </c>
      <c r="L18" s="25">
        <f>weekly_deaths_location_cause_and_excess_deaths[[#This Row],[Dementia / Alzhemier''s deaths]]-weekly_deaths_location_cause_and_excess_deaths[[#This Row],[Dementia / Alzheimer''s five year average]]</f>
        <v>5</v>
      </c>
      <c r="M18" s="25">
        <v>289</v>
      </c>
      <c r="N18" s="25">
        <v>302</v>
      </c>
      <c r="O18" s="25">
        <f>weekly_deaths_location_cause_and_excess_deaths[[#This Row],[Circulatory deaths]]-weekly_deaths_location_cause_and_excess_deaths[[#This Row],[Circulatory five year average]]</f>
        <v>-13</v>
      </c>
      <c r="P18" s="25">
        <v>145</v>
      </c>
      <c r="Q18" s="25">
        <v>157</v>
      </c>
      <c r="R18" s="2">
        <f>weekly_deaths_location_cause_and_excess_deaths[[#This Row],[Respiratory deaths]]-weekly_deaths_location_cause_and_excess_deaths[[#This Row],[Respiratory five year average]]</f>
        <v>-12</v>
      </c>
      <c r="S18" s="25">
        <v>10</v>
      </c>
      <c r="T18" s="25">
        <v>291</v>
      </c>
      <c r="U18" s="25">
        <v>249</v>
      </c>
      <c r="V18" s="2">
        <f>weekly_deaths_location_cause_and_excess_deaths[[#This Row],[Other causes]]-weekly_deaths_location_cause_and_excess_deaths[[#This Row],[Other causes five year average]]</f>
        <v>42</v>
      </c>
      <c r="W18" s="10"/>
    </row>
    <row r="19" spans="1:23" x14ac:dyDescent="0.35">
      <c r="A19" s="14" t="s">
        <v>85</v>
      </c>
      <c r="B19" s="15">
        <v>13</v>
      </c>
      <c r="C19" s="16">
        <v>43913</v>
      </c>
      <c r="D19" s="57">
        <v>1079</v>
      </c>
      <c r="E19" s="2">
        <v>1118</v>
      </c>
      <c r="F19" s="2">
        <f>weekly_deaths_location_cause_and_excess_deaths[[#This Row],[All causes]]-weekly_deaths_location_cause_and_excess_deaths[[#This Row],[All causes five year average]]</f>
        <v>-39</v>
      </c>
      <c r="G19" s="2">
        <v>272</v>
      </c>
      <c r="H19" s="2">
        <v>309</v>
      </c>
      <c r="I19" s="2">
        <f>weekly_deaths_location_cause_and_excess_deaths[[#This Row],[Cancer deaths]]-weekly_deaths_location_cause_and_excess_deaths[[#This Row],[Cancer five year average]]</f>
        <v>-37</v>
      </c>
      <c r="J19" s="2">
        <v>135</v>
      </c>
      <c r="K19" s="2">
        <v>120</v>
      </c>
      <c r="L19" s="2">
        <f>weekly_deaths_location_cause_and_excess_deaths[[#This Row],[Dementia / Alzhemier''s deaths]]-weekly_deaths_location_cause_and_excess_deaths[[#This Row],[Dementia / Alzheimer''s five year average]]</f>
        <v>15</v>
      </c>
      <c r="M19" s="25">
        <v>272</v>
      </c>
      <c r="N19" s="25">
        <v>301</v>
      </c>
      <c r="O19" s="25">
        <f>weekly_deaths_location_cause_and_excess_deaths[[#This Row],[Circulatory deaths]]-weekly_deaths_location_cause_and_excess_deaths[[#This Row],[Circulatory five year average]]</f>
        <v>-29</v>
      </c>
      <c r="P19" s="25">
        <v>112</v>
      </c>
      <c r="Q19" s="25">
        <v>136</v>
      </c>
      <c r="R19" s="2">
        <f>weekly_deaths_location_cause_and_excess_deaths[[#This Row],[Respiratory deaths]]-weekly_deaths_location_cause_and_excess_deaths[[#This Row],[Respiratory five year average]]</f>
        <v>-24</v>
      </c>
      <c r="S19" s="25">
        <v>53</v>
      </c>
      <c r="T19" s="25">
        <v>235</v>
      </c>
      <c r="U19" s="25">
        <v>252</v>
      </c>
      <c r="V19" s="2">
        <f>weekly_deaths_location_cause_and_excess_deaths[[#This Row],[Other causes]]-weekly_deaths_location_cause_and_excess_deaths[[#This Row],[Other causes five year average]]</f>
        <v>-17</v>
      </c>
      <c r="W19" s="10"/>
    </row>
    <row r="20" spans="1:23" x14ac:dyDescent="0.35">
      <c r="A20" s="14" t="s">
        <v>85</v>
      </c>
      <c r="B20" s="15">
        <v>14</v>
      </c>
      <c r="C20" s="16">
        <v>43920</v>
      </c>
      <c r="D20" s="57">
        <v>1744</v>
      </c>
      <c r="E20" s="25">
        <v>1098</v>
      </c>
      <c r="F20" s="25">
        <f>weekly_deaths_location_cause_and_excess_deaths[[#This Row],[All causes]]-weekly_deaths_location_cause_and_excess_deaths[[#This Row],[All causes five year average]]</f>
        <v>646</v>
      </c>
      <c r="G20" s="25">
        <v>377</v>
      </c>
      <c r="H20" s="25">
        <v>292</v>
      </c>
      <c r="I20" s="25">
        <f>weekly_deaths_location_cause_and_excess_deaths[[#This Row],[Cancer deaths]]-weekly_deaths_location_cause_and_excess_deaths[[#This Row],[Cancer five year average]]</f>
        <v>85</v>
      </c>
      <c r="J20" s="25">
        <v>203</v>
      </c>
      <c r="K20" s="25">
        <v>118</v>
      </c>
      <c r="L20" s="25">
        <f>weekly_deaths_location_cause_and_excess_deaths[[#This Row],[Dementia / Alzhemier''s deaths]]-weekly_deaths_location_cause_and_excess_deaths[[#This Row],[Dementia / Alzheimer''s five year average]]</f>
        <v>85</v>
      </c>
      <c r="M20" s="25">
        <v>385</v>
      </c>
      <c r="N20" s="25">
        <v>286</v>
      </c>
      <c r="O20" s="25">
        <f>weekly_deaths_location_cause_and_excess_deaths[[#This Row],[Circulatory deaths]]-weekly_deaths_location_cause_and_excess_deaths[[#This Row],[Circulatory five year average]]</f>
        <v>99</v>
      </c>
      <c r="P20" s="25">
        <v>164</v>
      </c>
      <c r="Q20" s="25">
        <v>143</v>
      </c>
      <c r="R20" s="2">
        <f>weekly_deaths_location_cause_and_excess_deaths[[#This Row],[Respiratory deaths]]-weekly_deaths_location_cause_and_excess_deaths[[#This Row],[Respiratory five year average]]</f>
        <v>21</v>
      </c>
      <c r="S20" s="25">
        <v>256</v>
      </c>
      <c r="T20" s="25">
        <v>359</v>
      </c>
      <c r="U20" s="25">
        <v>260</v>
      </c>
      <c r="V20" s="2">
        <f>weekly_deaths_location_cause_and_excess_deaths[[#This Row],[Other causes]]-weekly_deaths_location_cause_and_excess_deaths[[#This Row],[Other causes five year average]]</f>
        <v>99</v>
      </c>
      <c r="W20" s="10"/>
    </row>
    <row r="21" spans="1:23" x14ac:dyDescent="0.35">
      <c r="A21" s="14" t="s">
        <v>85</v>
      </c>
      <c r="B21" s="15">
        <v>15</v>
      </c>
      <c r="C21" s="16">
        <v>43927</v>
      </c>
      <c r="D21" s="57">
        <v>1978</v>
      </c>
      <c r="E21" s="19">
        <v>1100</v>
      </c>
      <c r="F21" s="19">
        <f>weekly_deaths_location_cause_and_excess_deaths[[#This Row],[All causes]]-weekly_deaths_location_cause_and_excess_deaths[[#This Row],[All causes five year average]]</f>
        <v>878</v>
      </c>
      <c r="G21" s="19">
        <v>341</v>
      </c>
      <c r="H21" s="19">
        <v>301</v>
      </c>
      <c r="I21" s="19">
        <f>weekly_deaths_location_cause_and_excess_deaths[[#This Row],[Cancer deaths]]-weekly_deaths_location_cause_and_excess_deaths[[#This Row],[Cancer five year average]]</f>
        <v>40</v>
      </c>
      <c r="J21" s="19">
        <v>215</v>
      </c>
      <c r="K21" s="19">
        <v>113</v>
      </c>
      <c r="L21" s="19">
        <f>weekly_deaths_location_cause_and_excess_deaths[[#This Row],[Dementia / Alzhemier''s deaths]]-weekly_deaths_location_cause_and_excess_deaths[[#This Row],[Dementia / Alzheimer''s five year average]]</f>
        <v>102</v>
      </c>
      <c r="M21" s="25">
        <v>354</v>
      </c>
      <c r="N21" s="25">
        <v>299</v>
      </c>
      <c r="O21" s="25">
        <f>weekly_deaths_location_cause_and_excess_deaths[[#This Row],[Circulatory deaths]]-weekly_deaths_location_cause_and_excess_deaths[[#This Row],[Circulatory five year average]]</f>
        <v>55</v>
      </c>
      <c r="P21" s="25">
        <v>144</v>
      </c>
      <c r="Q21" s="25">
        <v>139</v>
      </c>
      <c r="R21" s="2">
        <f>weekly_deaths_location_cause_and_excess_deaths[[#This Row],[Respiratory deaths]]-weekly_deaths_location_cause_and_excess_deaths[[#This Row],[Respiratory five year average]]</f>
        <v>5</v>
      </c>
      <c r="S21" s="25">
        <v>587</v>
      </c>
      <c r="T21" s="25">
        <v>337</v>
      </c>
      <c r="U21" s="25">
        <v>248</v>
      </c>
      <c r="V21" s="2">
        <f>weekly_deaths_location_cause_and_excess_deaths[[#This Row],[Other causes]]-weekly_deaths_location_cause_and_excess_deaths[[#This Row],[Other causes five year average]]</f>
        <v>89</v>
      </c>
      <c r="W21" s="10"/>
    </row>
    <row r="22" spans="1:23" x14ac:dyDescent="0.35">
      <c r="A22" s="14" t="s">
        <v>85</v>
      </c>
      <c r="B22" s="15">
        <v>16</v>
      </c>
      <c r="C22" s="16">
        <v>43934</v>
      </c>
      <c r="D22" s="57">
        <v>1916</v>
      </c>
      <c r="E22" s="19">
        <v>1067</v>
      </c>
      <c r="F22" s="19">
        <f>weekly_deaths_location_cause_and_excess_deaths[[#This Row],[All causes]]-weekly_deaths_location_cause_and_excess_deaths[[#This Row],[All causes five year average]]</f>
        <v>849</v>
      </c>
      <c r="G22" s="19">
        <v>337</v>
      </c>
      <c r="H22" s="19">
        <v>296</v>
      </c>
      <c r="I22" s="19">
        <f>weekly_deaths_location_cause_and_excess_deaths[[#This Row],[Cancer deaths]]-weekly_deaths_location_cause_and_excess_deaths[[#This Row],[Cancer five year average]]</f>
        <v>41</v>
      </c>
      <c r="J22" s="19">
        <v>195</v>
      </c>
      <c r="K22" s="19">
        <v>113</v>
      </c>
      <c r="L22" s="19">
        <f>weekly_deaths_location_cause_and_excess_deaths[[#This Row],[Dementia / Alzhemier''s deaths]]-weekly_deaths_location_cause_and_excess_deaths[[#This Row],[Dementia / Alzheimer''s five year average]]</f>
        <v>82</v>
      </c>
      <c r="M22" s="25">
        <v>297</v>
      </c>
      <c r="N22" s="25">
        <v>283</v>
      </c>
      <c r="O22" s="25">
        <f>weekly_deaths_location_cause_and_excess_deaths[[#This Row],[Circulatory deaths]]-weekly_deaths_location_cause_and_excess_deaths[[#This Row],[Circulatory five year average]]</f>
        <v>14</v>
      </c>
      <c r="P22" s="25">
        <v>100</v>
      </c>
      <c r="Q22" s="25">
        <v>125</v>
      </c>
      <c r="R22" s="2">
        <f>weekly_deaths_location_cause_and_excess_deaths[[#This Row],[Respiratory deaths]]-weekly_deaths_location_cause_and_excess_deaths[[#This Row],[Respiratory five year average]]</f>
        <v>-25</v>
      </c>
      <c r="S22" s="25">
        <v>638</v>
      </c>
      <c r="T22" s="25">
        <v>349</v>
      </c>
      <c r="U22" s="25">
        <v>250</v>
      </c>
      <c r="V22" s="2">
        <f>weekly_deaths_location_cause_and_excess_deaths[[#This Row],[Other causes]]-weekly_deaths_location_cause_and_excess_deaths[[#This Row],[Other causes five year average]]</f>
        <v>99</v>
      </c>
      <c r="W22" s="10"/>
    </row>
    <row r="23" spans="1:23" x14ac:dyDescent="0.35">
      <c r="A23" s="14" t="s">
        <v>85</v>
      </c>
      <c r="B23" s="15">
        <v>17</v>
      </c>
      <c r="C23" s="16">
        <v>43941</v>
      </c>
      <c r="D23" s="57">
        <v>1836</v>
      </c>
      <c r="E23" s="19">
        <v>1087</v>
      </c>
      <c r="F23" s="19">
        <f>weekly_deaths_location_cause_and_excess_deaths[[#This Row],[All causes]]-weekly_deaths_location_cause_and_excess_deaths[[#This Row],[All causes five year average]]</f>
        <v>749</v>
      </c>
      <c r="G23" s="19">
        <v>303</v>
      </c>
      <c r="H23" s="19">
        <v>305</v>
      </c>
      <c r="I23" s="19">
        <f>weekly_deaths_location_cause_and_excess_deaths[[#This Row],[Cancer deaths]]-weekly_deaths_location_cause_and_excess_deaths[[#This Row],[Cancer five year average]]</f>
        <v>-2</v>
      </c>
      <c r="J23" s="19">
        <v>179</v>
      </c>
      <c r="K23" s="19">
        <v>109</v>
      </c>
      <c r="L23" s="19">
        <f>weekly_deaths_location_cause_and_excess_deaths[[#This Row],[Dementia / Alzhemier''s deaths]]-weekly_deaths_location_cause_and_excess_deaths[[#This Row],[Dementia / Alzheimer''s five year average]]</f>
        <v>70</v>
      </c>
      <c r="M23" s="25">
        <v>321</v>
      </c>
      <c r="N23" s="25">
        <v>292</v>
      </c>
      <c r="O23" s="25">
        <f>weekly_deaths_location_cause_and_excess_deaths[[#This Row],[Circulatory deaths]]-weekly_deaths_location_cause_and_excess_deaths[[#This Row],[Circulatory five year average]]</f>
        <v>29</v>
      </c>
      <c r="P23" s="25">
        <v>107</v>
      </c>
      <c r="Q23" s="25">
        <v>128</v>
      </c>
      <c r="R23" s="2">
        <f>weekly_deaths_location_cause_and_excess_deaths[[#This Row],[Respiratory deaths]]-weekly_deaths_location_cause_and_excess_deaths[[#This Row],[Respiratory five year average]]</f>
        <v>-21</v>
      </c>
      <c r="S23" s="25">
        <v>636</v>
      </c>
      <c r="T23" s="25">
        <v>290</v>
      </c>
      <c r="U23" s="25">
        <v>253</v>
      </c>
      <c r="V23" s="2">
        <f>weekly_deaths_location_cause_and_excess_deaths[[#This Row],[Other causes]]-weekly_deaths_location_cause_and_excess_deaths[[#This Row],[Other causes five year average]]</f>
        <v>37</v>
      </c>
      <c r="W23" s="10"/>
    </row>
    <row r="24" spans="1:23" x14ac:dyDescent="0.35">
      <c r="A24" s="14" t="s">
        <v>85</v>
      </c>
      <c r="B24" s="15">
        <v>18</v>
      </c>
      <c r="C24" s="16">
        <v>43948</v>
      </c>
      <c r="D24" s="58">
        <v>1678</v>
      </c>
      <c r="E24" s="19">
        <v>1079</v>
      </c>
      <c r="F24" s="19">
        <f>weekly_deaths_location_cause_and_excess_deaths[[#This Row],[All causes]]-weekly_deaths_location_cause_and_excess_deaths[[#This Row],[All causes five year average]]</f>
        <v>599</v>
      </c>
      <c r="G24" s="19">
        <v>310</v>
      </c>
      <c r="H24" s="19">
        <v>310</v>
      </c>
      <c r="I24" s="19">
        <f>weekly_deaths_location_cause_and_excess_deaths[[#This Row],[Cancer deaths]]-weekly_deaths_location_cause_and_excess_deaths[[#This Row],[Cancer five year average]]</f>
        <v>0</v>
      </c>
      <c r="J24" s="19">
        <v>161</v>
      </c>
      <c r="K24" s="19">
        <v>119</v>
      </c>
      <c r="L24" s="19">
        <f>weekly_deaths_location_cause_and_excess_deaths[[#This Row],[Dementia / Alzhemier''s deaths]]-weekly_deaths_location_cause_and_excess_deaths[[#This Row],[Dementia / Alzheimer''s five year average]]</f>
        <v>42</v>
      </c>
      <c r="M24" s="25">
        <v>324</v>
      </c>
      <c r="N24" s="25">
        <v>276</v>
      </c>
      <c r="O24" s="25">
        <f>weekly_deaths_location_cause_and_excess_deaths[[#This Row],[Circulatory deaths]]-weekly_deaths_location_cause_and_excess_deaths[[#This Row],[Circulatory five year average]]</f>
        <v>48</v>
      </c>
      <c r="P24" s="25">
        <v>103</v>
      </c>
      <c r="Q24" s="25">
        <v>125</v>
      </c>
      <c r="R24" s="2">
        <f>weekly_deaths_location_cause_and_excess_deaths[[#This Row],[Respiratory deaths]]-weekly_deaths_location_cause_and_excess_deaths[[#This Row],[Respiratory five year average]]</f>
        <v>-22</v>
      </c>
      <c r="S24" s="25">
        <v>499</v>
      </c>
      <c r="T24" s="25">
        <v>281</v>
      </c>
      <c r="U24" s="25">
        <v>250</v>
      </c>
      <c r="V24" s="2">
        <f>weekly_deaths_location_cause_and_excess_deaths[[#This Row],[Other causes]]-weekly_deaths_location_cause_and_excess_deaths[[#This Row],[Other causes five year average]]</f>
        <v>31</v>
      </c>
      <c r="W24" s="10"/>
    </row>
    <row r="25" spans="1:23" x14ac:dyDescent="0.35">
      <c r="A25" s="14" t="s">
        <v>85</v>
      </c>
      <c r="B25" s="15">
        <v>19</v>
      </c>
      <c r="C25" s="16">
        <v>43955</v>
      </c>
      <c r="D25" s="58">
        <v>1435</v>
      </c>
      <c r="E25" s="19">
        <v>1034</v>
      </c>
      <c r="F25" s="19">
        <f>weekly_deaths_location_cause_and_excess_deaths[[#This Row],[All causes]]-weekly_deaths_location_cause_and_excess_deaths[[#This Row],[All causes five year average]]</f>
        <v>401</v>
      </c>
      <c r="G25" s="19">
        <v>295</v>
      </c>
      <c r="H25" s="19">
        <v>301</v>
      </c>
      <c r="I25" s="19">
        <f>weekly_deaths_location_cause_and_excess_deaths[[#This Row],[Cancer deaths]]-weekly_deaths_location_cause_and_excess_deaths[[#This Row],[Cancer five year average]]</f>
        <v>-6</v>
      </c>
      <c r="J25" s="19">
        <v>129</v>
      </c>
      <c r="K25" s="19">
        <v>103</v>
      </c>
      <c r="L25" s="19">
        <f>weekly_deaths_location_cause_and_excess_deaths[[#This Row],[Dementia / Alzhemier''s deaths]]-weekly_deaths_location_cause_and_excess_deaths[[#This Row],[Dementia / Alzheimer''s five year average]]</f>
        <v>26</v>
      </c>
      <c r="M25" s="25">
        <v>279</v>
      </c>
      <c r="N25" s="25">
        <v>275</v>
      </c>
      <c r="O25" s="25">
        <f>weekly_deaths_location_cause_and_excess_deaths[[#This Row],[Circulatory deaths]]-weekly_deaths_location_cause_and_excess_deaths[[#This Row],[Circulatory five year average]]</f>
        <v>4</v>
      </c>
      <c r="P25" s="25">
        <v>89</v>
      </c>
      <c r="Q25" s="25">
        <v>116</v>
      </c>
      <c r="R25" s="2">
        <f>weekly_deaths_location_cause_and_excess_deaths[[#This Row],[Respiratory deaths]]-weekly_deaths_location_cause_and_excess_deaths[[#This Row],[Respiratory five year average]]</f>
        <v>-27</v>
      </c>
      <c r="S25" s="25">
        <v>388</v>
      </c>
      <c r="T25" s="25">
        <v>255</v>
      </c>
      <c r="U25" s="25">
        <v>239</v>
      </c>
      <c r="V25" s="2">
        <f>weekly_deaths_location_cause_and_excess_deaths[[#This Row],[Other causes]]-weekly_deaths_location_cause_and_excess_deaths[[#This Row],[Other causes five year average]]</f>
        <v>16</v>
      </c>
      <c r="W25" s="10"/>
    </row>
    <row r="26" spans="1:23" x14ac:dyDescent="0.35">
      <c r="A26" s="14" t="s">
        <v>85</v>
      </c>
      <c r="B26" s="15">
        <v>20</v>
      </c>
      <c r="C26" s="16">
        <v>43962</v>
      </c>
      <c r="D26" s="58">
        <v>1421</v>
      </c>
      <c r="E26" s="19">
        <v>1064</v>
      </c>
      <c r="F26" s="19">
        <f>weekly_deaths_location_cause_and_excess_deaths[[#This Row],[All causes]]-weekly_deaths_location_cause_and_excess_deaths[[#This Row],[All causes five year average]]</f>
        <v>357</v>
      </c>
      <c r="G26" s="19">
        <v>329</v>
      </c>
      <c r="H26" s="19">
        <v>311</v>
      </c>
      <c r="I26" s="19">
        <f>weekly_deaths_location_cause_and_excess_deaths[[#This Row],[Cancer deaths]]-weekly_deaths_location_cause_and_excess_deaths[[#This Row],[Cancer five year average]]</f>
        <v>18</v>
      </c>
      <c r="J26" s="19">
        <v>118</v>
      </c>
      <c r="K26" s="19">
        <v>102</v>
      </c>
      <c r="L26" s="19">
        <f>weekly_deaths_location_cause_and_excess_deaths[[#This Row],[Dementia / Alzhemier''s deaths]]-weekly_deaths_location_cause_and_excess_deaths[[#This Row],[Dementia / Alzheimer''s five year average]]</f>
        <v>16</v>
      </c>
      <c r="M26" s="25">
        <v>277</v>
      </c>
      <c r="N26" s="25">
        <v>275</v>
      </c>
      <c r="O26" s="25">
        <f>weekly_deaths_location_cause_and_excess_deaths[[#This Row],[Circulatory deaths]]-weekly_deaths_location_cause_and_excess_deaths[[#This Row],[Circulatory five year average]]</f>
        <v>2</v>
      </c>
      <c r="P26" s="25">
        <v>85</v>
      </c>
      <c r="Q26" s="25">
        <v>125</v>
      </c>
      <c r="R26" s="2">
        <f>weekly_deaths_location_cause_and_excess_deaths[[#This Row],[Respiratory deaths]]-weekly_deaths_location_cause_and_excess_deaths[[#This Row],[Respiratory five year average]]</f>
        <v>-40</v>
      </c>
      <c r="S26" s="25">
        <v>302</v>
      </c>
      <c r="T26" s="25">
        <v>310</v>
      </c>
      <c r="U26" s="25">
        <v>251</v>
      </c>
      <c r="V26" s="2">
        <f>weekly_deaths_location_cause_and_excess_deaths[[#This Row],[Other causes]]-weekly_deaths_location_cause_and_excess_deaths[[#This Row],[Other causes five year average]]</f>
        <v>59</v>
      </c>
      <c r="W26" s="10"/>
    </row>
    <row r="27" spans="1:23" x14ac:dyDescent="0.35">
      <c r="A27" s="14" t="s">
        <v>85</v>
      </c>
      <c r="B27" s="15">
        <v>21</v>
      </c>
      <c r="C27" s="16">
        <v>43969</v>
      </c>
      <c r="D27" s="58">
        <v>1226</v>
      </c>
      <c r="E27" s="19">
        <v>1045</v>
      </c>
      <c r="F27" s="19">
        <f>weekly_deaths_location_cause_and_excess_deaths[[#This Row],[All causes]]-weekly_deaths_location_cause_and_excess_deaths[[#This Row],[All causes five year average]]</f>
        <v>181</v>
      </c>
      <c r="G27" s="19">
        <v>306</v>
      </c>
      <c r="H27" s="19">
        <v>298</v>
      </c>
      <c r="I27" s="19">
        <f>weekly_deaths_location_cause_and_excess_deaths[[#This Row],[Cancer deaths]]-weekly_deaths_location_cause_and_excess_deaths[[#This Row],[Cancer five year average]]</f>
        <v>8</v>
      </c>
      <c r="J27" s="19">
        <v>103</v>
      </c>
      <c r="K27" s="19">
        <v>114</v>
      </c>
      <c r="L27" s="19">
        <f>weekly_deaths_location_cause_and_excess_deaths[[#This Row],[Dementia / Alzhemier''s deaths]]-weekly_deaths_location_cause_and_excess_deaths[[#This Row],[Dementia / Alzheimer''s five year average]]</f>
        <v>-11</v>
      </c>
      <c r="M27" s="25">
        <v>254</v>
      </c>
      <c r="N27" s="25">
        <v>279</v>
      </c>
      <c r="O27" s="25">
        <f>weekly_deaths_location_cause_and_excess_deaths[[#This Row],[Circulatory deaths]]-weekly_deaths_location_cause_and_excess_deaths[[#This Row],[Circulatory five year average]]</f>
        <v>-25</v>
      </c>
      <c r="P27" s="25">
        <v>84</v>
      </c>
      <c r="Q27" s="25">
        <v>121</v>
      </c>
      <c r="R27" s="2">
        <f>weekly_deaths_location_cause_and_excess_deaths[[#This Row],[Respiratory deaths]]-weekly_deaths_location_cause_and_excess_deaths[[#This Row],[Respiratory five year average]]</f>
        <v>-37</v>
      </c>
      <c r="S27" s="25">
        <v>211</v>
      </c>
      <c r="T27" s="25">
        <v>268</v>
      </c>
      <c r="U27" s="25">
        <v>234</v>
      </c>
      <c r="V27" s="2">
        <f>weekly_deaths_location_cause_and_excess_deaths[[#This Row],[Other causes]]-weekly_deaths_location_cause_and_excess_deaths[[#This Row],[Other causes five year average]]</f>
        <v>34</v>
      </c>
      <c r="W27" s="10"/>
    </row>
    <row r="28" spans="1:23" x14ac:dyDescent="0.35">
      <c r="A28" s="14" t="s">
        <v>85</v>
      </c>
      <c r="B28" s="15">
        <v>22</v>
      </c>
      <c r="C28" s="16">
        <v>43976</v>
      </c>
      <c r="D28" s="59">
        <v>1128</v>
      </c>
      <c r="E28" s="19">
        <v>1017</v>
      </c>
      <c r="F28" s="19">
        <f>weekly_deaths_location_cause_and_excess_deaths[[#This Row],[All causes]]-weekly_deaths_location_cause_and_excess_deaths[[#This Row],[All causes five year average]]</f>
        <v>111</v>
      </c>
      <c r="G28" s="19">
        <v>286</v>
      </c>
      <c r="H28" s="19">
        <v>293</v>
      </c>
      <c r="I28" s="19">
        <f>weekly_deaths_location_cause_and_excess_deaths[[#This Row],[Cancer deaths]]-weekly_deaths_location_cause_and_excess_deaths[[#This Row],[Cancer five year average]]</f>
        <v>-7</v>
      </c>
      <c r="J28" s="19">
        <v>108</v>
      </c>
      <c r="K28" s="19">
        <v>104</v>
      </c>
      <c r="L28" s="19">
        <f>weekly_deaths_location_cause_and_excess_deaths[[#This Row],[Dementia / Alzhemier''s deaths]]-weekly_deaths_location_cause_and_excess_deaths[[#This Row],[Dementia / Alzheimer''s five year average]]</f>
        <v>4</v>
      </c>
      <c r="M28" s="25">
        <v>286</v>
      </c>
      <c r="N28" s="25">
        <v>275</v>
      </c>
      <c r="O28" s="25">
        <f>weekly_deaths_location_cause_and_excess_deaths[[#This Row],[Circulatory deaths]]-weekly_deaths_location_cause_and_excess_deaths[[#This Row],[Circulatory five year average]]</f>
        <v>11</v>
      </c>
      <c r="P28" s="25">
        <v>74</v>
      </c>
      <c r="Q28" s="25">
        <v>114</v>
      </c>
      <c r="R28" s="2">
        <f>weekly_deaths_location_cause_and_excess_deaths[[#This Row],[Respiratory deaths]]-weekly_deaths_location_cause_and_excess_deaths[[#This Row],[Respiratory five year average]]</f>
        <v>-40</v>
      </c>
      <c r="S28" s="25">
        <v>111</v>
      </c>
      <c r="T28" s="25">
        <v>263</v>
      </c>
      <c r="U28" s="25">
        <v>231</v>
      </c>
      <c r="V28" s="2">
        <f>weekly_deaths_location_cause_and_excess_deaths[[#This Row],[Other causes]]-weekly_deaths_location_cause_and_excess_deaths[[#This Row],[Other causes five year average]]</f>
        <v>32</v>
      </c>
      <c r="W28" s="10"/>
    </row>
    <row r="29" spans="1:23" x14ac:dyDescent="0.35">
      <c r="A29" s="14" t="s">
        <v>85</v>
      </c>
      <c r="B29" s="15">
        <v>23</v>
      </c>
      <c r="C29" s="16">
        <v>43983</v>
      </c>
      <c r="D29" s="58">
        <v>1093</v>
      </c>
      <c r="E29" s="19">
        <v>1056</v>
      </c>
      <c r="F29" s="19">
        <f>weekly_deaths_location_cause_and_excess_deaths[[#This Row],[All causes]]-weekly_deaths_location_cause_and_excess_deaths[[#This Row],[All causes five year average]]</f>
        <v>37</v>
      </c>
      <c r="G29" s="19">
        <v>309</v>
      </c>
      <c r="H29" s="19">
        <v>302</v>
      </c>
      <c r="I29" s="19">
        <f>weekly_deaths_location_cause_and_excess_deaths[[#This Row],[Cancer deaths]]-weekly_deaths_location_cause_and_excess_deaths[[#This Row],[Cancer five year average]]</f>
        <v>7</v>
      </c>
      <c r="J29" s="19">
        <v>85</v>
      </c>
      <c r="K29" s="19">
        <v>103</v>
      </c>
      <c r="L29" s="19">
        <f>weekly_deaths_location_cause_and_excess_deaths[[#This Row],[Dementia / Alzhemier''s deaths]]-weekly_deaths_location_cause_and_excess_deaths[[#This Row],[Dementia / Alzheimer''s five year average]]</f>
        <v>-18</v>
      </c>
      <c r="M29" s="25">
        <v>285</v>
      </c>
      <c r="N29" s="25">
        <v>279</v>
      </c>
      <c r="O29" s="25">
        <f>weekly_deaths_location_cause_and_excess_deaths[[#This Row],[Circulatory deaths]]-weekly_deaths_location_cause_and_excess_deaths[[#This Row],[Circulatory five year average]]</f>
        <v>6</v>
      </c>
      <c r="P29" s="25">
        <v>89</v>
      </c>
      <c r="Q29" s="25">
        <v>121</v>
      </c>
      <c r="R29" s="2">
        <f>weekly_deaths_location_cause_and_excess_deaths[[#This Row],[Respiratory deaths]]-weekly_deaths_location_cause_and_excess_deaths[[#This Row],[Respiratory five year average]]</f>
        <v>-32</v>
      </c>
      <c r="S29" s="25">
        <v>75</v>
      </c>
      <c r="T29" s="25">
        <v>250</v>
      </c>
      <c r="U29" s="25">
        <v>250</v>
      </c>
      <c r="V29" s="2">
        <f>weekly_deaths_location_cause_and_excess_deaths[[#This Row],[Other causes]]-weekly_deaths_location_cause_and_excess_deaths[[#This Row],[Other causes five year average]]</f>
        <v>0</v>
      </c>
      <c r="W29" s="10"/>
    </row>
    <row r="30" spans="1:23" x14ac:dyDescent="0.35">
      <c r="A30" s="14" t="s">
        <v>85</v>
      </c>
      <c r="B30" s="15">
        <v>24</v>
      </c>
      <c r="C30" s="16">
        <v>43990</v>
      </c>
      <c r="D30" s="58">
        <v>1034</v>
      </c>
      <c r="E30" s="19">
        <v>1000</v>
      </c>
      <c r="F30" s="19">
        <f>weekly_deaths_location_cause_and_excess_deaths[[#This Row],[All causes]]-weekly_deaths_location_cause_and_excess_deaths[[#This Row],[All causes five year average]]</f>
        <v>34</v>
      </c>
      <c r="G30" s="19">
        <v>275</v>
      </c>
      <c r="H30" s="19">
        <v>300</v>
      </c>
      <c r="I30" s="19">
        <f>weekly_deaths_location_cause_and_excess_deaths[[#This Row],[Cancer deaths]]-weekly_deaths_location_cause_and_excess_deaths[[#This Row],[Cancer five year average]]</f>
        <v>-25</v>
      </c>
      <c r="J30" s="19">
        <v>102</v>
      </c>
      <c r="K30" s="19">
        <v>95</v>
      </c>
      <c r="L30" s="19">
        <f>weekly_deaths_location_cause_and_excess_deaths[[#This Row],[Dementia / Alzhemier''s deaths]]-weekly_deaths_location_cause_and_excess_deaths[[#This Row],[Dementia / Alzheimer''s five year average]]</f>
        <v>7</v>
      </c>
      <c r="M30" s="25">
        <v>263</v>
      </c>
      <c r="N30" s="25">
        <v>263</v>
      </c>
      <c r="O30" s="25">
        <f>weekly_deaths_location_cause_and_excess_deaths[[#This Row],[Circulatory deaths]]-weekly_deaths_location_cause_and_excess_deaths[[#This Row],[Circulatory five year average]]</f>
        <v>0</v>
      </c>
      <c r="P30" s="25">
        <v>78</v>
      </c>
      <c r="Q30" s="25">
        <v>108</v>
      </c>
      <c r="R30" s="2">
        <f>weekly_deaths_location_cause_and_excess_deaths[[#This Row],[Respiratory deaths]]-weekly_deaths_location_cause_and_excess_deaths[[#This Row],[Respiratory five year average]]</f>
        <v>-30</v>
      </c>
      <c r="S30" s="25">
        <v>48</v>
      </c>
      <c r="T30" s="25">
        <v>268</v>
      </c>
      <c r="U30" s="25">
        <v>234</v>
      </c>
      <c r="V30" s="2">
        <f>weekly_deaths_location_cause_and_excess_deaths[[#This Row],[Other causes]]-weekly_deaths_location_cause_and_excess_deaths[[#This Row],[Other causes five year average]]</f>
        <v>34</v>
      </c>
      <c r="W30" s="10"/>
    </row>
    <row r="31" spans="1:23" x14ac:dyDescent="0.35">
      <c r="A31" s="14" t="s">
        <v>85</v>
      </c>
      <c r="B31" s="15">
        <v>25</v>
      </c>
      <c r="C31" s="16">
        <v>43997</v>
      </c>
      <c r="D31" s="58">
        <v>1065</v>
      </c>
      <c r="E31" s="19">
        <v>1019</v>
      </c>
      <c r="F31" s="19">
        <f>weekly_deaths_location_cause_and_excess_deaths[[#This Row],[All causes]]-weekly_deaths_location_cause_and_excess_deaths[[#This Row],[All causes five year average]]</f>
        <v>46</v>
      </c>
      <c r="G31" s="19">
        <v>296</v>
      </c>
      <c r="H31" s="19">
        <v>300</v>
      </c>
      <c r="I31" s="19">
        <f>weekly_deaths_location_cause_and_excess_deaths[[#This Row],[Cancer deaths]]-weekly_deaths_location_cause_and_excess_deaths[[#This Row],[Cancer five year average]]</f>
        <v>-4</v>
      </c>
      <c r="J31" s="19">
        <v>90</v>
      </c>
      <c r="K31" s="19">
        <v>98</v>
      </c>
      <c r="L31" s="19">
        <f>weekly_deaths_location_cause_and_excess_deaths[[#This Row],[Dementia / Alzhemier''s deaths]]-weekly_deaths_location_cause_and_excess_deaths[[#This Row],[Dementia / Alzheimer''s five year average]]</f>
        <v>-8</v>
      </c>
      <c r="M31" s="25">
        <v>278</v>
      </c>
      <c r="N31" s="25">
        <v>269</v>
      </c>
      <c r="O31" s="25">
        <f>weekly_deaths_location_cause_and_excess_deaths[[#This Row],[Circulatory deaths]]-weekly_deaths_location_cause_and_excess_deaths[[#This Row],[Circulatory five year average]]</f>
        <v>9</v>
      </c>
      <c r="P31" s="25">
        <v>99</v>
      </c>
      <c r="Q31" s="25">
        <v>114</v>
      </c>
      <c r="R31" s="2">
        <f>weekly_deaths_location_cause_and_excess_deaths[[#This Row],[Respiratory deaths]]-weekly_deaths_location_cause_and_excess_deaths[[#This Row],[Respiratory five year average]]</f>
        <v>-15</v>
      </c>
      <c r="S31" s="25">
        <v>41</v>
      </c>
      <c r="T31" s="25">
        <v>261</v>
      </c>
      <c r="U31" s="25">
        <v>238</v>
      </c>
      <c r="V31" s="2">
        <f>weekly_deaths_location_cause_and_excess_deaths[[#This Row],[Other causes]]-weekly_deaths_location_cause_and_excess_deaths[[#This Row],[Other causes five year average]]</f>
        <v>23</v>
      </c>
      <c r="W31" s="10"/>
    </row>
    <row r="32" spans="1:23" x14ac:dyDescent="0.35">
      <c r="A32" s="14" t="s">
        <v>85</v>
      </c>
      <c r="B32" s="15">
        <v>26</v>
      </c>
      <c r="C32" s="16">
        <v>44004</v>
      </c>
      <c r="D32" s="57">
        <v>1008</v>
      </c>
      <c r="E32" s="19">
        <v>1026</v>
      </c>
      <c r="F32" s="19">
        <f>weekly_deaths_location_cause_and_excess_deaths[[#This Row],[All causes]]-weekly_deaths_location_cause_and_excess_deaths[[#This Row],[All causes five year average]]</f>
        <v>-18</v>
      </c>
      <c r="G32" s="19">
        <v>295</v>
      </c>
      <c r="H32" s="19">
        <v>306</v>
      </c>
      <c r="I32" s="19">
        <f>weekly_deaths_location_cause_and_excess_deaths[[#This Row],[Cancer deaths]]-weekly_deaths_location_cause_and_excess_deaths[[#This Row],[Cancer five year average]]</f>
        <v>-11</v>
      </c>
      <c r="J32" s="19">
        <v>97</v>
      </c>
      <c r="K32" s="19">
        <v>98</v>
      </c>
      <c r="L32" s="19">
        <f>weekly_deaths_location_cause_and_excess_deaths[[#This Row],[Dementia / Alzhemier''s deaths]]-weekly_deaths_location_cause_and_excess_deaths[[#This Row],[Dementia / Alzheimer''s five year average]]</f>
        <v>-1</v>
      </c>
      <c r="M32" s="25">
        <v>248</v>
      </c>
      <c r="N32" s="25">
        <v>274</v>
      </c>
      <c r="O32" s="25">
        <f>weekly_deaths_location_cause_and_excess_deaths[[#This Row],[Circulatory deaths]]-weekly_deaths_location_cause_and_excess_deaths[[#This Row],[Circulatory five year average]]</f>
        <v>-26</v>
      </c>
      <c r="P32" s="25">
        <v>87</v>
      </c>
      <c r="Q32" s="25">
        <v>108</v>
      </c>
      <c r="R32" s="2">
        <f>weekly_deaths_location_cause_and_excess_deaths[[#This Row],[Respiratory deaths]]-weekly_deaths_location_cause_and_excess_deaths[[#This Row],[Respiratory five year average]]</f>
        <v>-21</v>
      </c>
      <c r="S32" s="25">
        <v>28</v>
      </c>
      <c r="T32" s="25">
        <v>253</v>
      </c>
      <c r="U32" s="25">
        <v>240</v>
      </c>
      <c r="V32" s="2">
        <f>weekly_deaths_location_cause_and_excess_deaths[[#This Row],[Other causes]]-weekly_deaths_location_cause_and_excess_deaths[[#This Row],[Other causes five year average]]</f>
        <v>13</v>
      </c>
      <c r="W32" s="10"/>
    </row>
    <row r="33" spans="1:23" x14ac:dyDescent="0.35">
      <c r="A33" s="14" t="s">
        <v>85</v>
      </c>
      <c r="B33" s="15">
        <v>27</v>
      </c>
      <c r="C33" s="16">
        <v>44011</v>
      </c>
      <c r="D33" s="58">
        <v>983</v>
      </c>
      <c r="E33" s="19">
        <v>1018</v>
      </c>
      <c r="F33" s="19">
        <f>weekly_deaths_location_cause_and_excess_deaths[[#This Row],[All causes]]-weekly_deaths_location_cause_and_excess_deaths[[#This Row],[All causes five year average]]</f>
        <v>-35</v>
      </c>
      <c r="G33" s="19">
        <v>297</v>
      </c>
      <c r="H33" s="19">
        <v>302</v>
      </c>
      <c r="I33" s="19">
        <f>weekly_deaths_location_cause_and_excess_deaths[[#This Row],[Cancer deaths]]-weekly_deaths_location_cause_and_excess_deaths[[#This Row],[Cancer five year average]]</f>
        <v>-5</v>
      </c>
      <c r="J33" s="19">
        <v>80</v>
      </c>
      <c r="K33" s="19">
        <v>104</v>
      </c>
      <c r="L33" s="19">
        <f>weekly_deaths_location_cause_and_excess_deaths[[#This Row],[Dementia / Alzhemier''s deaths]]-weekly_deaths_location_cause_and_excess_deaths[[#This Row],[Dementia / Alzheimer''s five year average]]</f>
        <v>-24</v>
      </c>
      <c r="M33" s="25">
        <v>257</v>
      </c>
      <c r="N33" s="25">
        <v>260</v>
      </c>
      <c r="O33" s="25">
        <f>weekly_deaths_location_cause_and_excess_deaths[[#This Row],[Circulatory deaths]]-weekly_deaths_location_cause_and_excess_deaths[[#This Row],[Circulatory five year average]]</f>
        <v>-3</v>
      </c>
      <c r="P33" s="25">
        <v>81</v>
      </c>
      <c r="Q33" s="25">
        <v>111</v>
      </c>
      <c r="R33" s="2">
        <f>weekly_deaths_location_cause_and_excess_deaths[[#This Row],[Respiratory deaths]]-weekly_deaths_location_cause_and_excess_deaths[[#This Row],[Respiratory five year average]]</f>
        <v>-30</v>
      </c>
      <c r="S33" s="25">
        <v>10</v>
      </c>
      <c r="T33" s="25">
        <v>258</v>
      </c>
      <c r="U33" s="25">
        <v>241</v>
      </c>
      <c r="V33" s="2">
        <f>weekly_deaths_location_cause_and_excess_deaths[[#This Row],[Other causes]]-weekly_deaths_location_cause_and_excess_deaths[[#This Row],[Other causes five year average]]</f>
        <v>17</v>
      </c>
      <c r="W33" s="10"/>
    </row>
    <row r="34" spans="1:23" x14ac:dyDescent="0.35">
      <c r="A34" s="14" t="s">
        <v>85</v>
      </c>
      <c r="B34" s="15">
        <v>28</v>
      </c>
      <c r="C34" s="16">
        <v>44018</v>
      </c>
      <c r="D34" s="58">
        <v>977</v>
      </c>
      <c r="E34" s="19">
        <v>1025</v>
      </c>
      <c r="F34" s="19">
        <f>weekly_deaths_location_cause_and_excess_deaths[[#This Row],[All causes]]-weekly_deaths_location_cause_and_excess_deaths[[#This Row],[All causes five year average]]</f>
        <v>-48</v>
      </c>
      <c r="G34" s="19">
        <v>282</v>
      </c>
      <c r="H34" s="19">
        <v>297</v>
      </c>
      <c r="I34" s="19">
        <f>weekly_deaths_location_cause_and_excess_deaths[[#This Row],[Cancer deaths]]-weekly_deaths_location_cause_and_excess_deaths[[#This Row],[Cancer five year average]]</f>
        <v>-15</v>
      </c>
      <c r="J34" s="19">
        <v>88</v>
      </c>
      <c r="K34" s="19">
        <v>98</v>
      </c>
      <c r="L34" s="19">
        <f>weekly_deaths_location_cause_and_excess_deaths[[#This Row],[Dementia / Alzhemier''s deaths]]-weekly_deaths_location_cause_and_excess_deaths[[#This Row],[Dementia / Alzheimer''s five year average]]</f>
        <v>-10</v>
      </c>
      <c r="M34" s="25">
        <v>277</v>
      </c>
      <c r="N34" s="25">
        <v>276</v>
      </c>
      <c r="O34" s="25">
        <f>weekly_deaths_location_cause_and_excess_deaths[[#This Row],[Circulatory deaths]]-weekly_deaths_location_cause_and_excess_deaths[[#This Row],[Circulatory five year average]]</f>
        <v>1</v>
      </c>
      <c r="P34" s="25">
        <v>80</v>
      </c>
      <c r="Q34" s="25">
        <v>103</v>
      </c>
      <c r="R34" s="2">
        <f>weekly_deaths_location_cause_and_excess_deaths[[#This Row],[Respiratory deaths]]-weekly_deaths_location_cause_and_excess_deaths[[#This Row],[Respiratory five year average]]</f>
        <v>-23</v>
      </c>
      <c r="S34" s="25">
        <v>7</v>
      </c>
      <c r="T34" s="25">
        <v>243</v>
      </c>
      <c r="U34" s="25">
        <v>251</v>
      </c>
      <c r="V34" s="2">
        <f>weekly_deaths_location_cause_and_excess_deaths[[#This Row],[Other causes]]-weekly_deaths_location_cause_and_excess_deaths[[#This Row],[Other causes five year average]]</f>
        <v>-8</v>
      </c>
      <c r="W34" s="10"/>
    </row>
    <row r="35" spans="1:23" x14ac:dyDescent="0.35">
      <c r="A35" s="14" t="s">
        <v>85</v>
      </c>
      <c r="B35" s="15">
        <v>29</v>
      </c>
      <c r="C35" s="16">
        <v>44025</v>
      </c>
      <c r="D35" s="57">
        <v>1033</v>
      </c>
      <c r="E35" s="19">
        <v>996</v>
      </c>
      <c r="F35" s="19">
        <f>weekly_deaths_location_cause_and_excess_deaths[[#This Row],[All causes]]-weekly_deaths_location_cause_and_excess_deaths[[#This Row],[All causes five year average]]</f>
        <v>37</v>
      </c>
      <c r="G35" s="19">
        <v>317</v>
      </c>
      <c r="H35" s="19">
        <v>302</v>
      </c>
      <c r="I35" s="19">
        <f>weekly_deaths_location_cause_and_excess_deaths[[#This Row],[Cancer deaths]]-weekly_deaths_location_cause_and_excess_deaths[[#This Row],[Cancer five year average]]</f>
        <v>15</v>
      </c>
      <c r="J35" s="19">
        <v>100</v>
      </c>
      <c r="K35" s="19">
        <v>94</v>
      </c>
      <c r="L35" s="19">
        <f>weekly_deaths_location_cause_and_excess_deaths[[#This Row],[Dementia / Alzhemier''s deaths]]-weekly_deaths_location_cause_and_excess_deaths[[#This Row],[Dementia / Alzheimer''s five year average]]</f>
        <v>6</v>
      </c>
      <c r="M35" s="25">
        <v>268</v>
      </c>
      <c r="N35" s="25">
        <v>259</v>
      </c>
      <c r="O35" s="25">
        <f>weekly_deaths_location_cause_and_excess_deaths[[#This Row],[Circulatory deaths]]-weekly_deaths_location_cause_and_excess_deaths[[#This Row],[Circulatory five year average]]</f>
        <v>9</v>
      </c>
      <c r="P35" s="25">
        <v>72</v>
      </c>
      <c r="Q35" s="25">
        <v>103</v>
      </c>
      <c r="R35" s="2">
        <f>weekly_deaths_location_cause_and_excess_deaths[[#This Row],[Respiratory deaths]]-weekly_deaths_location_cause_and_excess_deaths[[#This Row],[Respiratory five year average]]</f>
        <v>-31</v>
      </c>
      <c r="S35" s="25">
        <v>3</v>
      </c>
      <c r="T35" s="25">
        <v>273</v>
      </c>
      <c r="U35" s="25">
        <v>238</v>
      </c>
      <c r="V35" s="2">
        <f>weekly_deaths_location_cause_and_excess_deaths[[#This Row],[Other causes]]-weekly_deaths_location_cause_and_excess_deaths[[#This Row],[Other causes five year average]]</f>
        <v>35</v>
      </c>
      <c r="W35" s="10"/>
    </row>
    <row r="36" spans="1:23" x14ac:dyDescent="0.35">
      <c r="A36" s="14" t="s">
        <v>85</v>
      </c>
      <c r="B36" s="15">
        <v>30</v>
      </c>
      <c r="C36" s="16">
        <v>44032</v>
      </c>
      <c r="D36" s="57">
        <v>962</v>
      </c>
      <c r="E36" s="19">
        <v>977</v>
      </c>
      <c r="F36" s="19">
        <f>weekly_deaths_location_cause_and_excess_deaths[[#This Row],[All causes]]-weekly_deaths_location_cause_and_excess_deaths[[#This Row],[All causes five year average]]</f>
        <v>-15</v>
      </c>
      <c r="G36" s="19">
        <v>304</v>
      </c>
      <c r="H36" s="19">
        <v>306</v>
      </c>
      <c r="I36" s="19">
        <f>weekly_deaths_location_cause_and_excess_deaths[[#This Row],[Cancer deaths]]-weekly_deaths_location_cause_and_excess_deaths[[#This Row],[Cancer five year average]]</f>
        <v>-2</v>
      </c>
      <c r="J36" s="19">
        <v>93</v>
      </c>
      <c r="K36" s="19">
        <v>91</v>
      </c>
      <c r="L36" s="19">
        <f>weekly_deaths_location_cause_and_excess_deaths[[#This Row],[Dementia / Alzhemier''s deaths]]-weekly_deaths_location_cause_and_excess_deaths[[#This Row],[Dementia / Alzheimer''s five year average]]</f>
        <v>2</v>
      </c>
      <c r="M36" s="25">
        <v>264</v>
      </c>
      <c r="N36" s="25">
        <v>250</v>
      </c>
      <c r="O36" s="25">
        <f>weekly_deaths_location_cause_and_excess_deaths[[#This Row],[Circulatory deaths]]-weekly_deaths_location_cause_and_excess_deaths[[#This Row],[Circulatory five year average]]</f>
        <v>14</v>
      </c>
      <c r="P36" s="25">
        <v>67</v>
      </c>
      <c r="Q36" s="25">
        <v>97</v>
      </c>
      <c r="R36" s="2">
        <f>weekly_deaths_location_cause_and_excess_deaths[[#This Row],[Respiratory deaths]]-weekly_deaths_location_cause_and_excess_deaths[[#This Row],[Respiratory five year average]]</f>
        <v>-30</v>
      </c>
      <c r="S36" s="25">
        <v>4</v>
      </c>
      <c r="T36" s="25">
        <v>230</v>
      </c>
      <c r="U36" s="25">
        <v>234</v>
      </c>
      <c r="V36" s="2">
        <f>weekly_deaths_location_cause_and_excess_deaths[[#This Row],[Other causes]]-weekly_deaths_location_cause_and_excess_deaths[[#This Row],[Other causes five year average]]</f>
        <v>-4</v>
      </c>
      <c r="W36" s="10"/>
    </row>
    <row r="37" spans="1:23" x14ac:dyDescent="0.35">
      <c r="A37" s="14" t="s">
        <v>85</v>
      </c>
      <c r="B37" s="15">
        <v>31</v>
      </c>
      <c r="C37" s="16">
        <v>44039</v>
      </c>
      <c r="D37" s="58">
        <v>1043</v>
      </c>
      <c r="E37" s="19">
        <v>994</v>
      </c>
      <c r="F37" s="19">
        <f>weekly_deaths_location_cause_and_excess_deaths[[#This Row],[All causes]]-weekly_deaths_location_cause_and_excess_deaths[[#This Row],[All causes five year average]]</f>
        <v>49</v>
      </c>
      <c r="G37" s="19">
        <v>300</v>
      </c>
      <c r="H37" s="19">
        <v>310</v>
      </c>
      <c r="I37" s="19">
        <f>weekly_deaths_location_cause_and_excess_deaths[[#This Row],[Cancer deaths]]-weekly_deaths_location_cause_and_excess_deaths[[#This Row],[Cancer five year average]]</f>
        <v>-10</v>
      </c>
      <c r="J37" s="19">
        <v>90</v>
      </c>
      <c r="K37" s="19">
        <v>97</v>
      </c>
      <c r="L37" s="19">
        <f>weekly_deaths_location_cause_and_excess_deaths[[#This Row],[Dementia / Alzhemier''s deaths]]-weekly_deaths_location_cause_and_excess_deaths[[#This Row],[Dementia / Alzheimer''s five year average]]</f>
        <v>-7</v>
      </c>
      <c r="M37" s="25">
        <v>276</v>
      </c>
      <c r="N37" s="25">
        <v>245</v>
      </c>
      <c r="O37" s="25">
        <f>weekly_deaths_location_cause_and_excess_deaths[[#This Row],[Circulatory deaths]]-weekly_deaths_location_cause_and_excess_deaths[[#This Row],[Circulatory five year average]]</f>
        <v>31</v>
      </c>
      <c r="P37" s="25">
        <v>90</v>
      </c>
      <c r="Q37" s="25">
        <v>102</v>
      </c>
      <c r="R37" s="2">
        <f>weekly_deaths_location_cause_and_excess_deaths[[#This Row],[Respiratory deaths]]-weekly_deaths_location_cause_and_excess_deaths[[#This Row],[Respiratory five year average]]</f>
        <v>-12</v>
      </c>
      <c r="S37" s="25">
        <v>3</v>
      </c>
      <c r="T37" s="25">
        <v>284</v>
      </c>
      <c r="U37" s="25">
        <v>241</v>
      </c>
      <c r="V37" s="2">
        <f>weekly_deaths_location_cause_and_excess_deaths[[#This Row],[Other causes]]-weekly_deaths_location_cause_and_excess_deaths[[#This Row],[Other causes five year average]]</f>
        <v>43</v>
      </c>
      <c r="W37" s="10"/>
    </row>
    <row r="38" spans="1:23" x14ac:dyDescent="0.35">
      <c r="A38" s="14" t="s">
        <v>85</v>
      </c>
      <c r="B38" s="15">
        <v>32</v>
      </c>
      <c r="C38" s="16">
        <v>44046</v>
      </c>
      <c r="D38" s="58">
        <v>1011</v>
      </c>
      <c r="E38" s="19">
        <v>1003</v>
      </c>
      <c r="F38" s="19">
        <f>weekly_deaths_location_cause_and_excess_deaths[[#This Row],[All causes]]-weekly_deaths_location_cause_and_excess_deaths[[#This Row],[All causes five year average]]</f>
        <v>8</v>
      </c>
      <c r="G38" s="19">
        <v>332</v>
      </c>
      <c r="H38" s="19">
        <v>301</v>
      </c>
      <c r="I38" s="19">
        <f>weekly_deaths_location_cause_and_excess_deaths[[#This Row],[Cancer deaths]]-weekly_deaths_location_cause_and_excess_deaths[[#This Row],[Cancer five year average]]</f>
        <v>31</v>
      </c>
      <c r="J38" s="19">
        <v>92</v>
      </c>
      <c r="K38" s="19">
        <v>98</v>
      </c>
      <c r="L38" s="19">
        <f>weekly_deaths_location_cause_and_excess_deaths[[#This Row],[Dementia / Alzhemier''s deaths]]-weekly_deaths_location_cause_and_excess_deaths[[#This Row],[Dementia / Alzheimer''s five year average]]</f>
        <v>-6</v>
      </c>
      <c r="M38" s="25">
        <v>287</v>
      </c>
      <c r="N38" s="25">
        <v>255</v>
      </c>
      <c r="O38" s="25">
        <f>weekly_deaths_location_cause_and_excess_deaths[[#This Row],[Circulatory deaths]]-weekly_deaths_location_cause_and_excess_deaths[[#This Row],[Circulatory five year average]]</f>
        <v>32</v>
      </c>
      <c r="P38" s="25">
        <v>69</v>
      </c>
      <c r="Q38" s="25">
        <v>107</v>
      </c>
      <c r="R38" s="2">
        <f>weekly_deaths_location_cause_and_excess_deaths[[#This Row],[Respiratory deaths]]-weekly_deaths_location_cause_and_excess_deaths[[#This Row],[Respiratory five year average]]</f>
        <v>-38</v>
      </c>
      <c r="S38" s="25">
        <v>1</v>
      </c>
      <c r="T38" s="25">
        <v>230</v>
      </c>
      <c r="U38" s="25">
        <v>241</v>
      </c>
      <c r="V38" s="2">
        <f>weekly_deaths_location_cause_and_excess_deaths[[#This Row],[Other causes]]-weekly_deaths_location_cause_and_excess_deaths[[#This Row],[Other causes five year average]]</f>
        <v>-11</v>
      </c>
      <c r="W38" s="10"/>
    </row>
    <row r="39" spans="1:23" x14ac:dyDescent="0.35">
      <c r="A39" s="14" t="s">
        <v>85</v>
      </c>
      <c r="B39" s="15">
        <v>33</v>
      </c>
      <c r="C39" s="16">
        <v>44053</v>
      </c>
      <c r="D39" s="58">
        <v>928</v>
      </c>
      <c r="E39" s="19">
        <v>992</v>
      </c>
      <c r="F39" s="19">
        <f>weekly_deaths_location_cause_and_excess_deaths[[#This Row],[All causes]]-weekly_deaths_location_cause_and_excess_deaths[[#This Row],[All causes five year average]]</f>
        <v>-64</v>
      </c>
      <c r="G39" s="19">
        <v>308</v>
      </c>
      <c r="H39" s="19">
        <v>301</v>
      </c>
      <c r="I39" s="19">
        <f>weekly_deaths_location_cause_and_excess_deaths[[#This Row],[Cancer deaths]]-weekly_deaths_location_cause_and_excess_deaths[[#This Row],[Cancer five year average]]</f>
        <v>7</v>
      </c>
      <c r="J39" s="19">
        <v>84</v>
      </c>
      <c r="K39" s="19">
        <v>103</v>
      </c>
      <c r="L39" s="19">
        <f>weekly_deaths_location_cause_and_excess_deaths[[#This Row],[Dementia / Alzhemier''s deaths]]-weekly_deaths_location_cause_and_excess_deaths[[#This Row],[Dementia / Alzheimer''s five year average]]</f>
        <v>-19</v>
      </c>
      <c r="M39" s="25">
        <v>232</v>
      </c>
      <c r="N39" s="25">
        <v>265</v>
      </c>
      <c r="O39" s="25">
        <f>weekly_deaths_location_cause_and_excess_deaths[[#This Row],[Circulatory deaths]]-weekly_deaths_location_cause_and_excess_deaths[[#This Row],[Circulatory five year average]]</f>
        <v>-33</v>
      </c>
      <c r="P39" s="25">
        <v>71</v>
      </c>
      <c r="Q39" s="25">
        <v>93</v>
      </c>
      <c r="R39" s="2">
        <f>weekly_deaths_location_cause_and_excess_deaths[[#This Row],[Respiratory deaths]]-weekly_deaths_location_cause_and_excess_deaths[[#This Row],[Respiratory five year average]]</f>
        <v>-22</v>
      </c>
      <c r="S39" s="25">
        <v>0</v>
      </c>
      <c r="T39" s="25">
        <v>233</v>
      </c>
      <c r="U39" s="25">
        <v>230</v>
      </c>
      <c r="V39" s="2">
        <f>weekly_deaths_location_cause_and_excess_deaths[[#This Row],[Other causes]]-weekly_deaths_location_cause_and_excess_deaths[[#This Row],[Other causes five year average]]</f>
        <v>3</v>
      </c>
      <c r="W39" s="10"/>
    </row>
    <row r="40" spans="1:23" x14ac:dyDescent="0.35">
      <c r="A40" s="14" t="s">
        <v>85</v>
      </c>
      <c r="B40" s="15">
        <v>34</v>
      </c>
      <c r="C40" s="16">
        <v>44060</v>
      </c>
      <c r="D40" s="58">
        <v>1046</v>
      </c>
      <c r="E40" s="19">
        <v>999</v>
      </c>
      <c r="F40" s="19">
        <f>weekly_deaths_location_cause_and_excess_deaths[[#This Row],[All causes]]-weekly_deaths_location_cause_and_excess_deaths[[#This Row],[All causes five year average]]</f>
        <v>47</v>
      </c>
      <c r="G40" s="19">
        <v>301</v>
      </c>
      <c r="H40" s="19">
        <v>305</v>
      </c>
      <c r="I40" s="19">
        <f>weekly_deaths_location_cause_and_excess_deaths[[#This Row],[Cancer deaths]]-weekly_deaths_location_cause_and_excess_deaths[[#This Row],[Cancer five year average]]</f>
        <v>-4</v>
      </c>
      <c r="J40" s="19">
        <v>119</v>
      </c>
      <c r="K40" s="19">
        <v>99</v>
      </c>
      <c r="L40" s="19">
        <f>weekly_deaths_location_cause_and_excess_deaths[[#This Row],[Dementia / Alzhemier''s deaths]]-weekly_deaths_location_cause_and_excess_deaths[[#This Row],[Dementia / Alzheimer''s five year average]]</f>
        <v>20</v>
      </c>
      <c r="M40" s="25">
        <v>271</v>
      </c>
      <c r="N40" s="25">
        <v>263</v>
      </c>
      <c r="O40" s="25">
        <f>weekly_deaths_location_cause_and_excess_deaths[[#This Row],[Circulatory deaths]]-weekly_deaths_location_cause_and_excess_deaths[[#This Row],[Circulatory five year average]]</f>
        <v>8</v>
      </c>
      <c r="P40" s="25">
        <v>89</v>
      </c>
      <c r="Q40" s="25">
        <v>97</v>
      </c>
      <c r="R40" s="2">
        <f>weekly_deaths_location_cause_and_excess_deaths[[#This Row],[Respiratory deaths]]-weekly_deaths_location_cause_and_excess_deaths[[#This Row],[Respiratory five year average]]</f>
        <v>-8</v>
      </c>
      <c r="S40" s="25">
        <v>3</v>
      </c>
      <c r="T40" s="25">
        <v>263</v>
      </c>
      <c r="U40" s="25">
        <v>234</v>
      </c>
      <c r="V40" s="2">
        <f>weekly_deaths_location_cause_and_excess_deaths[[#This Row],[Other causes]]-weekly_deaths_location_cause_and_excess_deaths[[#This Row],[Other causes five year average]]</f>
        <v>29</v>
      </c>
      <c r="W40" s="10"/>
    </row>
    <row r="41" spans="1:23" x14ac:dyDescent="0.35">
      <c r="A41" s="14" t="s">
        <v>85</v>
      </c>
      <c r="B41" s="15">
        <v>35</v>
      </c>
      <c r="C41" s="16">
        <v>44067</v>
      </c>
      <c r="D41" s="58">
        <v>1030</v>
      </c>
      <c r="E41" s="19">
        <v>983</v>
      </c>
      <c r="F41" s="19">
        <f>weekly_deaths_location_cause_and_excess_deaths[[#This Row],[All causes]]-weekly_deaths_location_cause_and_excess_deaths[[#This Row],[All causes five year average]]</f>
        <v>47</v>
      </c>
      <c r="G41" s="19">
        <v>317</v>
      </c>
      <c r="H41" s="19">
        <v>311</v>
      </c>
      <c r="I41" s="19">
        <f>weekly_deaths_location_cause_and_excess_deaths[[#This Row],[Cancer deaths]]-weekly_deaths_location_cause_and_excess_deaths[[#This Row],[Cancer five year average]]</f>
        <v>6</v>
      </c>
      <c r="J41" s="19">
        <v>93</v>
      </c>
      <c r="K41" s="19">
        <v>94</v>
      </c>
      <c r="L41" s="19">
        <f>weekly_deaths_location_cause_and_excess_deaths[[#This Row],[Dementia / Alzhemier''s deaths]]-weekly_deaths_location_cause_and_excess_deaths[[#This Row],[Dementia / Alzheimer''s five year average]]</f>
        <v>-1</v>
      </c>
      <c r="M41" s="25">
        <v>259</v>
      </c>
      <c r="N41" s="25">
        <v>256</v>
      </c>
      <c r="O41" s="25">
        <f>weekly_deaths_location_cause_and_excess_deaths[[#This Row],[Circulatory deaths]]-weekly_deaths_location_cause_and_excess_deaths[[#This Row],[Circulatory five year average]]</f>
        <v>3</v>
      </c>
      <c r="P41" s="25">
        <v>88</v>
      </c>
      <c r="Q41" s="25">
        <v>99</v>
      </c>
      <c r="R41" s="2">
        <f>weekly_deaths_location_cause_and_excess_deaths[[#This Row],[Respiratory deaths]]-weekly_deaths_location_cause_and_excess_deaths[[#This Row],[Respiratory five year average]]</f>
        <v>-11</v>
      </c>
      <c r="S41" s="25">
        <v>3</v>
      </c>
      <c r="T41" s="25">
        <v>270</v>
      </c>
      <c r="U41" s="25">
        <v>223</v>
      </c>
      <c r="V41" s="2">
        <f>weekly_deaths_location_cause_and_excess_deaths[[#This Row],[Other causes]]-weekly_deaths_location_cause_and_excess_deaths[[#This Row],[Other causes five year average]]</f>
        <v>47</v>
      </c>
      <c r="W41" s="10"/>
    </row>
    <row r="42" spans="1:23" x14ac:dyDescent="0.35">
      <c r="A42" s="14" t="s">
        <v>85</v>
      </c>
      <c r="B42" s="15">
        <v>36</v>
      </c>
      <c r="C42" s="16">
        <v>44074</v>
      </c>
      <c r="D42" s="58">
        <v>1050</v>
      </c>
      <c r="E42" s="19">
        <v>988</v>
      </c>
      <c r="F42" s="19">
        <f>weekly_deaths_location_cause_and_excess_deaths[[#This Row],[All causes]]-weekly_deaths_location_cause_and_excess_deaths[[#This Row],[All causes five year average]]</f>
        <v>62</v>
      </c>
      <c r="G42" s="19">
        <v>342</v>
      </c>
      <c r="H42" s="19">
        <v>305</v>
      </c>
      <c r="I42" s="19">
        <f>weekly_deaths_location_cause_and_excess_deaths[[#This Row],[Cancer deaths]]-weekly_deaths_location_cause_and_excess_deaths[[#This Row],[Cancer five year average]]</f>
        <v>37</v>
      </c>
      <c r="J42" s="19">
        <v>83</v>
      </c>
      <c r="K42" s="19">
        <v>108</v>
      </c>
      <c r="L42" s="19">
        <f>weekly_deaths_location_cause_and_excess_deaths[[#This Row],[Dementia / Alzhemier''s deaths]]-weekly_deaths_location_cause_and_excess_deaths[[#This Row],[Dementia / Alzheimer''s five year average]]</f>
        <v>-25</v>
      </c>
      <c r="M42" s="25">
        <v>258</v>
      </c>
      <c r="N42" s="25">
        <v>241</v>
      </c>
      <c r="O42" s="25">
        <f>weekly_deaths_location_cause_and_excess_deaths[[#This Row],[Circulatory deaths]]-weekly_deaths_location_cause_and_excess_deaths[[#This Row],[Circulatory five year average]]</f>
        <v>17</v>
      </c>
      <c r="P42" s="25">
        <v>82</v>
      </c>
      <c r="Q42" s="25">
        <v>100</v>
      </c>
      <c r="R42" s="2">
        <f>weekly_deaths_location_cause_and_excess_deaths[[#This Row],[Respiratory deaths]]-weekly_deaths_location_cause_and_excess_deaths[[#This Row],[Respiratory five year average]]</f>
        <v>-18</v>
      </c>
      <c r="S42" s="25">
        <v>2</v>
      </c>
      <c r="T42" s="25">
        <v>283</v>
      </c>
      <c r="U42" s="25">
        <v>234</v>
      </c>
      <c r="V42" s="2">
        <f>weekly_deaths_location_cause_and_excess_deaths[[#This Row],[Other causes]]-weekly_deaths_location_cause_and_excess_deaths[[#This Row],[Other causes five year average]]</f>
        <v>49</v>
      </c>
      <c r="W42" s="10"/>
    </row>
    <row r="43" spans="1:23" x14ac:dyDescent="0.35">
      <c r="A43" s="14" t="s">
        <v>85</v>
      </c>
      <c r="B43" s="15">
        <v>37</v>
      </c>
      <c r="C43" s="16">
        <v>44081</v>
      </c>
      <c r="D43" s="58">
        <v>1069</v>
      </c>
      <c r="E43" s="19">
        <v>1008</v>
      </c>
      <c r="F43" s="19">
        <f>weekly_deaths_location_cause_and_excess_deaths[[#This Row],[All causes]]-weekly_deaths_location_cause_and_excess_deaths[[#This Row],[All causes five year average]]</f>
        <v>61</v>
      </c>
      <c r="G43" s="19">
        <v>283</v>
      </c>
      <c r="H43" s="19">
        <v>326</v>
      </c>
      <c r="I43" s="19">
        <f>weekly_deaths_location_cause_and_excess_deaths[[#This Row],[Cancer deaths]]-weekly_deaths_location_cause_and_excess_deaths[[#This Row],[Cancer five year average]]</f>
        <v>-43</v>
      </c>
      <c r="J43" s="19">
        <v>95</v>
      </c>
      <c r="K43" s="19">
        <v>101</v>
      </c>
      <c r="L43" s="19">
        <f>weekly_deaths_location_cause_and_excess_deaths[[#This Row],[Dementia / Alzhemier''s deaths]]-weekly_deaths_location_cause_and_excess_deaths[[#This Row],[Dementia / Alzheimer''s five year average]]</f>
        <v>-6</v>
      </c>
      <c r="M43" s="25">
        <v>287</v>
      </c>
      <c r="N43" s="25">
        <v>245</v>
      </c>
      <c r="O43" s="25">
        <f>weekly_deaths_location_cause_and_excess_deaths[[#This Row],[Circulatory deaths]]-weekly_deaths_location_cause_and_excess_deaths[[#This Row],[Circulatory five year average]]</f>
        <v>42</v>
      </c>
      <c r="P43" s="25">
        <v>99</v>
      </c>
      <c r="Q43" s="25">
        <v>100</v>
      </c>
      <c r="R43" s="2">
        <f>weekly_deaths_location_cause_and_excess_deaths[[#This Row],[Respiratory deaths]]-weekly_deaths_location_cause_and_excess_deaths[[#This Row],[Respiratory five year average]]</f>
        <v>-1</v>
      </c>
      <c r="S43" s="25">
        <v>2</v>
      </c>
      <c r="T43" s="25">
        <v>303</v>
      </c>
      <c r="U43" s="25">
        <v>236</v>
      </c>
      <c r="V43" s="2">
        <f>weekly_deaths_location_cause_and_excess_deaths[[#This Row],[Other causes]]-weekly_deaths_location_cause_and_excess_deaths[[#This Row],[Other causes five year average]]</f>
        <v>67</v>
      </c>
      <c r="W43" s="10"/>
    </row>
    <row r="44" spans="1:23" x14ac:dyDescent="0.35">
      <c r="A44" s="14" t="s">
        <v>85</v>
      </c>
      <c r="B44" s="15">
        <v>38</v>
      </c>
      <c r="C44" s="16">
        <v>44088</v>
      </c>
      <c r="D44" s="59">
        <v>952</v>
      </c>
      <c r="E44" s="19">
        <v>1007</v>
      </c>
      <c r="F44" s="19">
        <f>weekly_deaths_location_cause_and_excess_deaths[[#This Row],[All causes]]-weekly_deaths_location_cause_and_excess_deaths[[#This Row],[All causes five year average]]</f>
        <v>-55</v>
      </c>
      <c r="G44" s="19">
        <v>271</v>
      </c>
      <c r="H44" s="19">
        <v>309</v>
      </c>
      <c r="I44" s="19">
        <f>weekly_deaths_location_cause_and_excess_deaths[[#This Row],[Cancer deaths]]-weekly_deaths_location_cause_and_excess_deaths[[#This Row],[Cancer five year average]]</f>
        <v>-38</v>
      </c>
      <c r="J44" s="19">
        <v>97</v>
      </c>
      <c r="K44" s="19">
        <v>101</v>
      </c>
      <c r="L44" s="19">
        <f>weekly_deaths_location_cause_and_excess_deaths[[#This Row],[Dementia / Alzhemier''s deaths]]-weekly_deaths_location_cause_and_excess_deaths[[#This Row],[Dementia / Alzheimer''s five year average]]</f>
        <v>-4</v>
      </c>
      <c r="M44" s="25">
        <v>254</v>
      </c>
      <c r="N44" s="25">
        <v>264</v>
      </c>
      <c r="O44" s="25">
        <f>weekly_deaths_location_cause_and_excess_deaths[[#This Row],[Circulatory deaths]]-weekly_deaths_location_cause_and_excess_deaths[[#This Row],[Circulatory five year average]]</f>
        <v>-10</v>
      </c>
      <c r="P44" s="25">
        <v>83</v>
      </c>
      <c r="Q44" s="25">
        <v>104</v>
      </c>
      <c r="R44" s="2">
        <f>weekly_deaths_location_cause_and_excess_deaths[[#This Row],[Respiratory deaths]]-weekly_deaths_location_cause_and_excess_deaths[[#This Row],[Respiratory five year average]]</f>
        <v>-21</v>
      </c>
      <c r="S44" s="25">
        <v>7</v>
      </c>
      <c r="T44" s="25">
        <v>240</v>
      </c>
      <c r="U44" s="25">
        <v>228</v>
      </c>
      <c r="V44" s="2">
        <f>weekly_deaths_location_cause_and_excess_deaths[[#This Row],[Other causes]]-weekly_deaths_location_cause_and_excess_deaths[[#This Row],[Other causes five year average]]</f>
        <v>12</v>
      </c>
      <c r="W44" s="10"/>
    </row>
    <row r="45" spans="1:23" x14ac:dyDescent="0.35">
      <c r="A45" s="14" t="s">
        <v>85</v>
      </c>
      <c r="B45" s="15">
        <v>39</v>
      </c>
      <c r="C45" s="16">
        <v>44095</v>
      </c>
      <c r="D45" s="58">
        <v>933</v>
      </c>
      <c r="E45" s="19">
        <v>1046</v>
      </c>
      <c r="F45" s="19">
        <f>weekly_deaths_location_cause_and_excess_deaths[[#This Row],[All causes]]-weekly_deaths_location_cause_and_excess_deaths[[#This Row],[All causes five year average]]</f>
        <v>-113</v>
      </c>
      <c r="G45" s="19">
        <v>264</v>
      </c>
      <c r="H45" s="19">
        <v>300</v>
      </c>
      <c r="I45" s="19">
        <f>weekly_deaths_location_cause_and_excess_deaths[[#This Row],[Cancer deaths]]-weekly_deaths_location_cause_and_excess_deaths[[#This Row],[Cancer five year average]]</f>
        <v>-36</v>
      </c>
      <c r="J45" s="19">
        <v>92</v>
      </c>
      <c r="K45" s="19">
        <v>111</v>
      </c>
      <c r="L45" s="19">
        <f>weekly_deaths_location_cause_and_excess_deaths[[#This Row],[Dementia / Alzhemier''s deaths]]-weekly_deaths_location_cause_and_excess_deaths[[#This Row],[Dementia / Alzheimer''s five year average]]</f>
        <v>-19</v>
      </c>
      <c r="M45" s="25">
        <v>244</v>
      </c>
      <c r="N45" s="25">
        <v>273</v>
      </c>
      <c r="O45" s="25">
        <f>weekly_deaths_location_cause_and_excess_deaths[[#This Row],[Circulatory deaths]]-weekly_deaths_location_cause_and_excess_deaths[[#This Row],[Circulatory five year average]]</f>
        <v>-29</v>
      </c>
      <c r="P45" s="25">
        <v>83</v>
      </c>
      <c r="Q45" s="25">
        <v>111</v>
      </c>
      <c r="R45" s="2">
        <f>weekly_deaths_location_cause_and_excess_deaths[[#This Row],[Respiratory deaths]]-weekly_deaths_location_cause_and_excess_deaths[[#This Row],[Respiratory five year average]]</f>
        <v>-28</v>
      </c>
      <c r="S45" s="25">
        <v>9</v>
      </c>
      <c r="T45" s="25">
        <v>241</v>
      </c>
      <c r="U45" s="25">
        <v>250</v>
      </c>
      <c r="V45" s="2">
        <f>weekly_deaths_location_cause_and_excess_deaths[[#This Row],[Other causes]]-weekly_deaths_location_cause_and_excess_deaths[[#This Row],[Other causes five year average]]</f>
        <v>-9</v>
      </c>
      <c r="W45" s="10"/>
    </row>
    <row r="46" spans="1:23" x14ac:dyDescent="0.35">
      <c r="A46" s="14" t="s">
        <v>85</v>
      </c>
      <c r="B46" s="15">
        <v>40</v>
      </c>
      <c r="C46" s="16">
        <v>44102</v>
      </c>
      <c r="D46" s="58">
        <v>1196</v>
      </c>
      <c r="E46" s="19">
        <v>1038</v>
      </c>
      <c r="F46" s="19">
        <f>weekly_deaths_location_cause_and_excess_deaths[[#This Row],[All causes]]-weekly_deaths_location_cause_and_excess_deaths[[#This Row],[All causes five year average]]</f>
        <v>158</v>
      </c>
      <c r="G46" s="19">
        <v>358</v>
      </c>
      <c r="H46" s="19">
        <v>315</v>
      </c>
      <c r="I46" s="19">
        <f>weekly_deaths_location_cause_and_excess_deaths[[#This Row],[Cancer deaths]]-weekly_deaths_location_cause_and_excess_deaths[[#This Row],[Cancer five year average]]</f>
        <v>43</v>
      </c>
      <c r="J46" s="19">
        <v>117</v>
      </c>
      <c r="K46" s="19">
        <v>105</v>
      </c>
      <c r="L46" s="19">
        <f>weekly_deaths_location_cause_and_excess_deaths[[#This Row],[Dementia / Alzhemier''s deaths]]-weekly_deaths_location_cause_and_excess_deaths[[#This Row],[Dementia / Alzheimer''s five year average]]</f>
        <v>12</v>
      </c>
      <c r="M46" s="25">
        <v>324</v>
      </c>
      <c r="N46" s="25">
        <v>264</v>
      </c>
      <c r="O46" s="25">
        <f>weekly_deaths_location_cause_and_excess_deaths[[#This Row],[Circulatory deaths]]-weekly_deaths_location_cause_and_excess_deaths[[#This Row],[Circulatory five year average]]</f>
        <v>60</v>
      </c>
      <c r="P46" s="25">
        <v>98</v>
      </c>
      <c r="Q46" s="25">
        <v>113</v>
      </c>
      <c r="R46" s="2">
        <f>weekly_deaths_location_cause_and_excess_deaths[[#This Row],[Respiratory deaths]]-weekly_deaths_location_cause_and_excess_deaths[[#This Row],[Respiratory five year average]]</f>
        <v>-15</v>
      </c>
      <c r="S46" s="25">
        <v>19</v>
      </c>
      <c r="T46" s="25">
        <v>280</v>
      </c>
      <c r="U46" s="25">
        <v>241</v>
      </c>
      <c r="V46" s="2">
        <f>weekly_deaths_location_cause_and_excess_deaths[[#This Row],[Other causes]]-weekly_deaths_location_cause_and_excess_deaths[[#This Row],[Other causes five year average]]</f>
        <v>39</v>
      </c>
      <c r="W46" s="10"/>
    </row>
    <row r="47" spans="1:23" x14ac:dyDescent="0.35">
      <c r="A47" s="14" t="s">
        <v>85</v>
      </c>
      <c r="B47" s="15">
        <v>41</v>
      </c>
      <c r="C47" s="16">
        <v>44109</v>
      </c>
      <c r="D47" s="58">
        <v>1072</v>
      </c>
      <c r="E47" s="19">
        <v>1079</v>
      </c>
      <c r="F47" s="19">
        <f>weekly_deaths_location_cause_and_excess_deaths[[#This Row],[All causes]]-weekly_deaths_location_cause_and_excess_deaths[[#This Row],[All causes five year average]]</f>
        <v>-7</v>
      </c>
      <c r="G47" s="19">
        <v>310</v>
      </c>
      <c r="H47" s="19">
        <v>331</v>
      </c>
      <c r="I47" s="19">
        <f>weekly_deaths_location_cause_and_excess_deaths[[#This Row],[Cancer deaths]]-weekly_deaths_location_cause_and_excess_deaths[[#This Row],[Cancer five year average]]</f>
        <v>-21</v>
      </c>
      <c r="J47" s="19">
        <v>120</v>
      </c>
      <c r="K47" s="19">
        <v>107</v>
      </c>
      <c r="L47" s="19">
        <f>weekly_deaths_location_cause_and_excess_deaths[[#This Row],[Dementia / Alzhemier''s deaths]]-weekly_deaths_location_cause_and_excess_deaths[[#This Row],[Dementia / Alzheimer''s five year average]]</f>
        <v>13</v>
      </c>
      <c r="M47" s="25">
        <v>280</v>
      </c>
      <c r="N47" s="25">
        <v>280</v>
      </c>
      <c r="O47" s="25">
        <f>weekly_deaths_location_cause_and_excess_deaths[[#This Row],[Circulatory deaths]]-weekly_deaths_location_cause_and_excess_deaths[[#This Row],[Circulatory five year average]]</f>
        <v>0</v>
      </c>
      <c r="P47" s="25">
        <v>92</v>
      </c>
      <c r="Q47" s="25">
        <v>116</v>
      </c>
      <c r="R47" s="2">
        <f>weekly_deaths_location_cause_and_excess_deaths[[#This Row],[Respiratory deaths]]-weekly_deaths_location_cause_and_excess_deaths[[#This Row],[Respiratory five year average]]</f>
        <v>-24</v>
      </c>
      <c r="S47" s="25">
        <v>24</v>
      </c>
      <c r="T47" s="25">
        <v>246</v>
      </c>
      <c r="U47" s="25">
        <v>245</v>
      </c>
      <c r="V47" s="2">
        <f>weekly_deaths_location_cause_and_excess_deaths[[#This Row],[Other causes]]-weekly_deaths_location_cause_and_excess_deaths[[#This Row],[Other causes five year average]]</f>
        <v>1</v>
      </c>
      <c r="W47" s="10"/>
    </row>
    <row r="48" spans="1:23" x14ac:dyDescent="0.35">
      <c r="A48" s="14" t="s">
        <v>85</v>
      </c>
      <c r="B48" s="15">
        <v>42</v>
      </c>
      <c r="C48" s="16">
        <v>44116</v>
      </c>
      <c r="D48" s="58">
        <v>1134</v>
      </c>
      <c r="E48" s="19">
        <v>1062</v>
      </c>
      <c r="F48" s="19">
        <f>weekly_deaths_location_cause_and_excess_deaths[[#This Row],[All causes]]-weekly_deaths_location_cause_and_excess_deaths[[#This Row],[All causes five year average]]</f>
        <v>72</v>
      </c>
      <c r="G48" s="19">
        <v>287</v>
      </c>
      <c r="H48" s="19">
        <v>306</v>
      </c>
      <c r="I48" s="19">
        <f>weekly_deaths_location_cause_and_excess_deaths[[#This Row],[Cancer deaths]]-weekly_deaths_location_cause_and_excess_deaths[[#This Row],[Cancer five year average]]</f>
        <v>-19</v>
      </c>
      <c r="J48" s="19">
        <v>110</v>
      </c>
      <c r="K48" s="19">
        <v>112</v>
      </c>
      <c r="L48" s="19">
        <f>weekly_deaths_location_cause_and_excess_deaths[[#This Row],[Dementia / Alzhemier''s deaths]]-weekly_deaths_location_cause_and_excess_deaths[[#This Row],[Dementia / Alzheimer''s five year average]]</f>
        <v>-2</v>
      </c>
      <c r="M48" s="25">
        <v>278</v>
      </c>
      <c r="N48" s="25">
        <v>284</v>
      </c>
      <c r="O48" s="25">
        <f>weekly_deaths_location_cause_and_excess_deaths[[#This Row],[Circulatory deaths]]-weekly_deaths_location_cause_and_excess_deaths[[#This Row],[Circulatory five year average]]</f>
        <v>-6</v>
      </c>
      <c r="P48" s="25">
        <v>108</v>
      </c>
      <c r="Q48" s="25">
        <v>124</v>
      </c>
      <c r="R48" s="2">
        <f>weekly_deaths_location_cause_and_excess_deaths[[#This Row],[Respiratory deaths]]-weekly_deaths_location_cause_and_excess_deaths[[#This Row],[Respiratory five year average]]</f>
        <v>-16</v>
      </c>
      <c r="S48" s="25">
        <v>66</v>
      </c>
      <c r="T48" s="25">
        <v>285</v>
      </c>
      <c r="U48" s="25">
        <v>237</v>
      </c>
      <c r="V48" s="2">
        <f>weekly_deaths_location_cause_and_excess_deaths[[#This Row],[Other causes]]-weekly_deaths_location_cause_and_excess_deaths[[#This Row],[Other causes five year average]]</f>
        <v>48</v>
      </c>
      <c r="W48" s="10"/>
    </row>
    <row r="49" spans="1:23" x14ac:dyDescent="0.35">
      <c r="A49" s="14" t="s">
        <v>85</v>
      </c>
      <c r="B49" s="15">
        <v>43</v>
      </c>
      <c r="C49" s="16">
        <v>44123</v>
      </c>
      <c r="D49" s="58">
        <v>1187</v>
      </c>
      <c r="E49" s="19">
        <v>1052</v>
      </c>
      <c r="F49" s="19">
        <f>weekly_deaths_location_cause_and_excess_deaths[[#This Row],[All causes]]-weekly_deaths_location_cause_and_excess_deaths[[#This Row],[All causes five year average]]</f>
        <v>135</v>
      </c>
      <c r="G49" s="19">
        <v>329</v>
      </c>
      <c r="H49" s="19">
        <v>315</v>
      </c>
      <c r="I49" s="19">
        <f>weekly_deaths_location_cause_and_excess_deaths[[#This Row],[Cancer deaths]]-weekly_deaths_location_cause_and_excess_deaths[[#This Row],[Cancer five year average]]</f>
        <v>14</v>
      </c>
      <c r="J49" s="19">
        <v>112</v>
      </c>
      <c r="K49" s="19">
        <v>99</v>
      </c>
      <c r="L49" s="19">
        <f>weekly_deaths_location_cause_and_excess_deaths[[#This Row],[Dementia / Alzhemier''s deaths]]-weekly_deaths_location_cause_and_excess_deaths[[#This Row],[Dementia / Alzheimer''s five year average]]</f>
        <v>13</v>
      </c>
      <c r="M49" s="25">
        <v>288</v>
      </c>
      <c r="N49" s="25">
        <v>272</v>
      </c>
      <c r="O49" s="25">
        <f>weekly_deaths_location_cause_and_excess_deaths[[#This Row],[Circulatory deaths]]-weekly_deaths_location_cause_and_excess_deaths[[#This Row],[Circulatory five year average]]</f>
        <v>16</v>
      </c>
      <c r="P49" s="25">
        <v>88</v>
      </c>
      <c r="Q49" s="25">
        <v>120</v>
      </c>
      <c r="R49" s="2">
        <f>weekly_deaths_location_cause_and_excess_deaths[[#This Row],[Respiratory deaths]]-weekly_deaths_location_cause_and_excess_deaths[[#This Row],[Respiratory five year average]]</f>
        <v>-32</v>
      </c>
      <c r="S49" s="25">
        <v>93</v>
      </c>
      <c r="T49" s="25">
        <v>277</v>
      </c>
      <c r="U49" s="25">
        <v>246</v>
      </c>
      <c r="V49" s="2">
        <f>weekly_deaths_location_cause_and_excess_deaths[[#This Row],[Other causes]]-weekly_deaths_location_cause_and_excess_deaths[[#This Row],[Other causes five year average]]</f>
        <v>31</v>
      </c>
      <c r="W49" s="10"/>
    </row>
    <row r="50" spans="1:23" x14ac:dyDescent="0.35">
      <c r="A50" s="14" t="s">
        <v>85</v>
      </c>
      <c r="B50" s="15">
        <v>44</v>
      </c>
      <c r="C50" s="16">
        <v>44130</v>
      </c>
      <c r="D50" s="59">
        <v>1262</v>
      </c>
      <c r="E50" s="25">
        <v>1079</v>
      </c>
      <c r="F50" s="25">
        <f>weekly_deaths_location_cause_and_excess_deaths[[#This Row],[All causes]]-weekly_deaths_location_cause_and_excess_deaths[[#This Row],[All causes five year average]]</f>
        <v>183</v>
      </c>
      <c r="G50" s="25">
        <v>328</v>
      </c>
      <c r="H50" s="25">
        <v>320</v>
      </c>
      <c r="I50" s="25">
        <f>weekly_deaths_location_cause_and_excess_deaths[[#This Row],[Cancer deaths]]-weekly_deaths_location_cause_and_excess_deaths[[#This Row],[Cancer five year average]]</f>
        <v>8</v>
      </c>
      <c r="J50" s="25">
        <v>113</v>
      </c>
      <c r="K50" s="25">
        <v>113</v>
      </c>
      <c r="L50" s="25">
        <f>weekly_deaths_location_cause_and_excess_deaths[[#This Row],[Dementia / Alzhemier''s deaths]]-weekly_deaths_location_cause_and_excess_deaths[[#This Row],[Dementia / Alzheimer''s five year average]]</f>
        <v>0</v>
      </c>
      <c r="M50" s="25">
        <v>318</v>
      </c>
      <c r="N50" s="25">
        <v>280</v>
      </c>
      <c r="O50" s="25">
        <f>weekly_deaths_location_cause_and_excess_deaths[[#This Row],[Circulatory deaths]]-weekly_deaths_location_cause_and_excess_deaths[[#This Row],[Circulatory five year average]]</f>
        <v>38</v>
      </c>
      <c r="P50" s="25">
        <v>99</v>
      </c>
      <c r="Q50" s="25">
        <v>116</v>
      </c>
      <c r="R50" s="2">
        <f>weekly_deaths_location_cause_and_excess_deaths[[#This Row],[Respiratory deaths]]-weekly_deaths_location_cause_and_excess_deaths[[#This Row],[Respiratory five year average]]</f>
        <v>-17</v>
      </c>
      <c r="S50" s="25">
        <v>157</v>
      </c>
      <c r="T50" s="25">
        <v>247</v>
      </c>
      <c r="U50" s="25">
        <v>249</v>
      </c>
      <c r="V50" s="2">
        <f>weekly_deaths_location_cause_and_excess_deaths[[#This Row],[Other causes]]-weekly_deaths_location_cause_and_excess_deaths[[#This Row],[Other causes five year average]]</f>
        <v>-2</v>
      </c>
      <c r="W50" s="10"/>
    </row>
    <row r="51" spans="1:23" x14ac:dyDescent="0.35">
      <c r="A51" s="14" t="s">
        <v>85</v>
      </c>
      <c r="B51" s="15">
        <v>45</v>
      </c>
      <c r="C51" s="16">
        <v>44137</v>
      </c>
      <c r="D51" s="58">
        <v>1250</v>
      </c>
      <c r="E51" s="19">
        <v>1105</v>
      </c>
      <c r="F51" s="19">
        <f>weekly_deaths_location_cause_and_excess_deaths[[#This Row],[All causes]]-weekly_deaths_location_cause_and_excess_deaths[[#This Row],[All causes five year average]]</f>
        <v>145</v>
      </c>
      <c r="G51" s="19">
        <v>304</v>
      </c>
      <c r="H51" s="19">
        <v>320</v>
      </c>
      <c r="I51" s="19">
        <f>weekly_deaths_location_cause_and_excess_deaths[[#This Row],[Cancer deaths]]-weekly_deaths_location_cause_and_excess_deaths[[#This Row],[Cancer five year average]]</f>
        <v>-16</v>
      </c>
      <c r="J51" s="19">
        <v>107</v>
      </c>
      <c r="K51" s="19">
        <v>122</v>
      </c>
      <c r="L51" s="19">
        <f>weekly_deaths_location_cause_and_excess_deaths[[#This Row],[Dementia / Alzhemier''s deaths]]-weekly_deaths_location_cause_and_excess_deaths[[#This Row],[Dementia / Alzheimer''s five year average]]</f>
        <v>-15</v>
      </c>
      <c r="M51" s="25">
        <v>297</v>
      </c>
      <c r="N51" s="25">
        <v>296</v>
      </c>
      <c r="O51" s="25">
        <f>weekly_deaths_location_cause_and_excess_deaths[[#This Row],[Circulatory deaths]]-weekly_deaths_location_cause_and_excess_deaths[[#This Row],[Circulatory five year average]]</f>
        <v>1</v>
      </c>
      <c r="P51" s="25">
        <v>79</v>
      </c>
      <c r="Q51" s="25">
        <v>119</v>
      </c>
      <c r="R51" s="2">
        <f>weekly_deaths_location_cause_and_excess_deaths[[#This Row],[Respiratory deaths]]-weekly_deaths_location_cause_and_excess_deaths[[#This Row],[Respiratory five year average]]</f>
        <v>-40</v>
      </c>
      <c r="S51" s="25">
        <v>184</v>
      </c>
      <c r="T51" s="25">
        <v>279</v>
      </c>
      <c r="U51" s="25">
        <v>247</v>
      </c>
      <c r="V51" s="2">
        <f>weekly_deaths_location_cause_and_excess_deaths[[#This Row],[Other causes]]-weekly_deaths_location_cause_and_excess_deaths[[#This Row],[Other causes five year average]]</f>
        <v>32</v>
      </c>
      <c r="W51" s="10"/>
    </row>
    <row r="52" spans="1:23" x14ac:dyDescent="0.35">
      <c r="A52" s="14" t="s">
        <v>85</v>
      </c>
      <c r="B52" s="15">
        <v>46</v>
      </c>
      <c r="C52" s="16">
        <v>44144</v>
      </c>
      <c r="D52" s="57">
        <v>1338</v>
      </c>
      <c r="E52" s="19">
        <v>1139</v>
      </c>
      <c r="F52" s="19">
        <f>weekly_deaths_location_cause_and_excess_deaths[[#This Row],[All causes]]-weekly_deaths_location_cause_and_excess_deaths[[#This Row],[All causes five year average]]</f>
        <v>199</v>
      </c>
      <c r="G52" s="19">
        <v>297</v>
      </c>
      <c r="H52" s="19">
        <v>332</v>
      </c>
      <c r="I52" s="19">
        <f>weekly_deaths_location_cause_and_excess_deaths[[#This Row],[Cancer deaths]]-weekly_deaths_location_cause_and_excess_deaths[[#This Row],[Cancer five year average]]</f>
        <v>-35</v>
      </c>
      <c r="J52" s="19">
        <v>120</v>
      </c>
      <c r="K52" s="19">
        <v>127</v>
      </c>
      <c r="L52" s="19">
        <f>weekly_deaths_location_cause_and_excess_deaths[[#This Row],[Dementia / Alzhemier''s deaths]]-weekly_deaths_location_cause_and_excess_deaths[[#This Row],[Dementia / Alzheimer''s five year average]]</f>
        <v>-7</v>
      </c>
      <c r="M52" s="25">
        <v>296</v>
      </c>
      <c r="N52" s="25">
        <v>284</v>
      </c>
      <c r="O52" s="25">
        <f>weekly_deaths_location_cause_and_excess_deaths[[#This Row],[Circulatory deaths]]-weekly_deaths_location_cause_and_excess_deaths[[#This Row],[Circulatory five year average]]</f>
        <v>12</v>
      </c>
      <c r="P52" s="25">
        <v>87</v>
      </c>
      <c r="Q52" s="25">
        <v>127</v>
      </c>
      <c r="R52" s="2">
        <f>weekly_deaths_location_cause_and_excess_deaths[[#This Row],[Respiratory deaths]]-weekly_deaths_location_cause_and_excess_deaths[[#This Row],[Respiratory five year average]]</f>
        <v>-40</v>
      </c>
      <c r="S52" s="25">
        <v>248</v>
      </c>
      <c r="T52" s="25">
        <v>290</v>
      </c>
      <c r="U52" s="25">
        <v>270</v>
      </c>
      <c r="V52" s="2">
        <f>weekly_deaths_location_cause_and_excess_deaths[[#This Row],[Other causes]]-weekly_deaths_location_cause_and_excess_deaths[[#This Row],[Other causes five year average]]</f>
        <v>20</v>
      </c>
      <c r="W52" s="10"/>
    </row>
    <row r="53" spans="1:23" x14ac:dyDescent="0.35">
      <c r="A53" s="14" t="s">
        <v>85</v>
      </c>
      <c r="B53" s="15">
        <v>47</v>
      </c>
      <c r="C53" s="16">
        <v>44151</v>
      </c>
      <c r="D53" s="59">
        <v>1360</v>
      </c>
      <c r="E53" s="25">
        <v>1130</v>
      </c>
      <c r="F53" s="25">
        <f>weekly_deaths_location_cause_and_excess_deaths[[#This Row],[All causes]]-weekly_deaths_location_cause_and_excess_deaths[[#This Row],[All causes five year average]]</f>
        <v>230</v>
      </c>
      <c r="G53" s="25">
        <v>290</v>
      </c>
      <c r="H53" s="25">
        <v>306</v>
      </c>
      <c r="I53" s="25">
        <f>weekly_deaths_location_cause_and_excess_deaths[[#This Row],[Cancer deaths]]-weekly_deaths_location_cause_and_excess_deaths[[#This Row],[Cancer five year average]]</f>
        <v>-16</v>
      </c>
      <c r="J53" s="25">
        <v>134</v>
      </c>
      <c r="K53" s="25">
        <v>131</v>
      </c>
      <c r="L53" s="25">
        <f>weekly_deaths_location_cause_and_excess_deaths[[#This Row],[Dementia / Alzhemier''s deaths]]-weekly_deaths_location_cause_and_excess_deaths[[#This Row],[Dementia / Alzheimer''s five year average]]</f>
        <v>3</v>
      </c>
      <c r="M53" s="25">
        <v>310</v>
      </c>
      <c r="N53" s="25">
        <v>297</v>
      </c>
      <c r="O53" s="25">
        <f>weekly_deaths_location_cause_and_excess_deaths[[#This Row],[Circulatory deaths]]-weekly_deaths_location_cause_and_excess_deaths[[#This Row],[Circulatory five year average]]</f>
        <v>13</v>
      </c>
      <c r="P53" s="25">
        <v>109</v>
      </c>
      <c r="Q53" s="25">
        <v>134</v>
      </c>
      <c r="R53" s="2">
        <f>weekly_deaths_location_cause_and_excess_deaths[[#This Row],[Respiratory deaths]]-weekly_deaths_location_cause_and_excess_deaths[[#This Row],[Respiratory five year average]]</f>
        <v>-25</v>
      </c>
      <c r="S53" s="25">
        <v>215</v>
      </c>
      <c r="T53" s="25">
        <v>302</v>
      </c>
      <c r="U53" s="25">
        <v>263</v>
      </c>
      <c r="V53" s="2">
        <f>weekly_deaths_location_cause_and_excess_deaths[[#This Row],[Other causes]]-weekly_deaths_location_cause_and_excess_deaths[[#This Row],[Other causes five year average]]</f>
        <v>39</v>
      </c>
      <c r="W53" s="10"/>
    </row>
    <row r="54" spans="1:23" x14ac:dyDescent="0.35">
      <c r="A54" s="14" t="s">
        <v>85</v>
      </c>
      <c r="B54" s="15">
        <v>48</v>
      </c>
      <c r="C54" s="16">
        <v>44158</v>
      </c>
      <c r="D54" s="59">
        <v>1329</v>
      </c>
      <c r="E54" s="52">
        <v>1130</v>
      </c>
      <c r="F54" s="52">
        <f>weekly_deaths_location_cause_and_excess_deaths[[#This Row],[All causes]]-weekly_deaths_location_cause_and_excess_deaths[[#This Row],[All causes five year average]]</f>
        <v>199</v>
      </c>
      <c r="G54" s="52">
        <v>325</v>
      </c>
      <c r="H54" s="52">
        <v>307</v>
      </c>
      <c r="I54" s="52">
        <f>weekly_deaths_location_cause_and_excess_deaths[[#This Row],[Cancer deaths]]-weekly_deaths_location_cause_and_excess_deaths[[#This Row],[Cancer five year average]]</f>
        <v>18</v>
      </c>
      <c r="J54" s="52">
        <v>119</v>
      </c>
      <c r="K54" s="52">
        <v>121</v>
      </c>
      <c r="L54" s="52">
        <f>weekly_deaths_location_cause_and_excess_deaths[[#This Row],[Dementia / Alzhemier''s deaths]]-weekly_deaths_location_cause_and_excess_deaths[[#This Row],[Dementia / Alzheimer''s five year average]]</f>
        <v>-2</v>
      </c>
      <c r="M54" s="25">
        <v>288</v>
      </c>
      <c r="N54" s="25">
        <v>315</v>
      </c>
      <c r="O54" s="25">
        <f>weekly_deaths_location_cause_and_excess_deaths[[#This Row],[Circulatory deaths]]-weekly_deaths_location_cause_and_excess_deaths[[#This Row],[Circulatory five year average]]</f>
        <v>-27</v>
      </c>
      <c r="P54" s="25">
        <v>104</v>
      </c>
      <c r="Q54" s="25">
        <v>135</v>
      </c>
      <c r="R54" s="2">
        <f>weekly_deaths_location_cause_and_excess_deaths[[#This Row],[Respiratory deaths]]-weekly_deaths_location_cause_and_excess_deaths[[#This Row],[Respiratory five year average]]</f>
        <v>-31</v>
      </c>
      <c r="S54" s="25">
        <v>215</v>
      </c>
      <c r="T54" s="25">
        <v>278</v>
      </c>
      <c r="U54" s="25">
        <v>251</v>
      </c>
      <c r="V54" s="2">
        <f>weekly_deaths_location_cause_and_excess_deaths[[#This Row],[Other causes]]-weekly_deaths_location_cause_and_excess_deaths[[#This Row],[Other causes five year average]]</f>
        <v>27</v>
      </c>
      <c r="W54" s="10"/>
    </row>
    <row r="55" spans="1:23" x14ac:dyDescent="0.35">
      <c r="A55" s="14" t="s">
        <v>85</v>
      </c>
      <c r="B55" s="15">
        <v>49</v>
      </c>
      <c r="C55" s="16">
        <v>44165</v>
      </c>
      <c r="D55" s="59">
        <v>1296</v>
      </c>
      <c r="E55" s="52">
        <v>1140</v>
      </c>
      <c r="F55" s="52">
        <f>weekly_deaths_location_cause_and_excess_deaths[[#This Row],[All causes]]-weekly_deaths_location_cause_and_excess_deaths[[#This Row],[All causes five year average]]</f>
        <v>156</v>
      </c>
      <c r="G55" s="52">
        <v>310</v>
      </c>
      <c r="H55" s="52">
        <v>306</v>
      </c>
      <c r="I55" s="52">
        <f>weekly_deaths_location_cause_and_excess_deaths[[#This Row],[Cancer deaths]]-weekly_deaths_location_cause_and_excess_deaths[[#This Row],[Cancer five year average]]</f>
        <v>4</v>
      </c>
      <c r="J55" s="52">
        <v>114</v>
      </c>
      <c r="K55" s="52">
        <v>134</v>
      </c>
      <c r="L55" s="52">
        <f>weekly_deaths_location_cause_and_excess_deaths[[#This Row],[Dementia / Alzhemier''s deaths]]-weekly_deaths_location_cause_and_excess_deaths[[#This Row],[Dementia / Alzheimer''s five year average]]</f>
        <v>-20</v>
      </c>
      <c r="M55" s="25">
        <v>309</v>
      </c>
      <c r="N55" s="25">
        <v>292</v>
      </c>
      <c r="O55" s="25">
        <f>weekly_deaths_location_cause_and_excess_deaths[[#This Row],[Circulatory deaths]]-weekly_deaths_location_cause_and_excess_deaths[[#This Row],[Circulatory five year average]]</f>
        <v>17</v>
      </c>
      <c r="P55" s="25">
        <v>85</v>
      </c>
      <c r="Q55" s="25">
        <v>141</v>
      </c>
      <c r="R55" s="2">
        <f>weekly_deaths_location_cause_and_excess_deaths[[#This Row],[Respiratory deaths]]-weekly_deaths_location_cause_and_excess_deaths[[#This Row],[Respiratory five year average]]</f>
        <v>-56</v>
      </c>
      <c r="S55" s="25">
        <v>204</v>
      </c>
      <c r="T55" s="25">
        <v>274</v>
      </c>
      <c r="U55" s="25">
        <v>266</v>
      </c>
      <c r="V55" s="2">
        <f>weekly_deaths_location_cause_and_excess_deaths[[#This Row],[Other causes]]-weekly_deaths_location_cause_and_excess_deaths[[#This Row],[Other causes five year average]]</f>
        <v>8</v>
      </c>
      <c r="W55" s="10"/>
    </row>
    <row r="56" spans="1:23" x14ac:dyDescent="0.35">
      <c r="A56" s="14" t="s">
        <v>85</v>
      </c>
      <c r="B56" s="15">
        <v>50</v>
      </c>
      <c r="C56" s="16">
        <v>44172</v>
      </c>
      <c r="D56" s="59">
        <v>1284</v>
      </c>
      <c r="E56" s="52">
        <v>1236</v>
      </c>
      <c r="F56" s="52">
        <f>weekly_deaths_location_cause_and_excess_deaths[[#This Row],[All causes]]-weekly_deaths_location_cause_and_excess_deaths[[#This Row],[All causes five year average]]</f>
        <v>48</v>
      </c>
      <c r="G56" s="52">
        <v>313</v>
      </c>
      <c r="H56" s="52">
        <v>342</v>
      </c>
      <c r="I56" s="52">
        <f>weekly_deaths_location_cause_and_excess_deaths[[#This Row],[Cancer deaths]]-weekly_deaths_location_cause_and_excess_deaths[[#This Row],[Cancer five year average]]</f>
        <v>-29</v>
      </c>
      <c r="J56" s="52">
        <v>108</v>
      </c>
      <c r="K56" s="52">
        <v>145</v>
      </c>
      <c r="L56" s="52">
        <f>weekly_deaths_location_cause_and_excess_deaths[[#This Row],[Dementia / Alzhemier''s deaths]]-weekly_deaths_location_cause_and_excess_deaths[[#This Row],[Dementia / Alzheimer''s five year average]]</f>
        <v>-37</v>
      </c>
      <c r="M56" s="25">
        <v>314</v>
      </c>
      <c r="N56" s="25">
        <v>317</v>
      </c>
      <c r="O56" s="25">
        <f>weekly_deaths_location_cause_and_excess_deaths[[#This Row],[Circulatory deaths]]-weekly_deaths_location_cause_and_excess_deaths[[#This Row],[Circulatory five year average]]</f>
        <v>-3</v>
      </c>
      <c r="P56" s="25">
        <v>83</v>
      </c>
      <c r="Q56" s="25">
        <v>160</v>
      </c>
      <c r="R56" s="2">
        <f>weekly_deaths_location_cause_and_excess_deaths[[#This Row],[Respiratory deaths]]-weekly_deaths_location_cause_and_excess_deaths[[#This Row],[Respiratory five year average]]</f>
        <v>-77</v>
      </c>
      <c r="S56" s="25">
        <v>197</v>
      </c>
      <c r="T56" s="25">
        <v>269</v>
      </c>
      <c r="U56" s="25">
        <v>271</v>
      </c>
      <c r="V56" s="2">
        <f>weekly_deaths_location_cause_and_excess_deaths[[#This Row],[Other causes]]-weekly_deaths_location_cause_and_excess_deaths[[#This Row],[Other causes five year average]]</f>
        <v>-2</v>
      </c>
      <c r="W56" s="10"/>
    </row>
    <row r="57" spans="1:23" x14ac:dyDescent="0.35">
      <c r="A57" s="14" t="s">
        <v>85</v>
      </c>
      <c r="B57" s="15">
        <v>51</v>
      </c>
      <c r="C57" s="16">
        <v>44179</v>
      </c>
      <c r="D57" s="59">
        <v>1297</v>
      </c>
      <c r="E57" s="52">
        <v>1272</v>
      </c>
      <c r="F57" s="52">
        <f>weekly_deaths_location_cause_and_excess_deaths[[#This Row],[All causes]]-weekly_deaths_location_cause_and_excess_deaths[[#This Row],[All causes five year average]]</f>
        <v>25</v>
      </c>
      <c r="G57" s="52">
        <v>304</v>
      </c>
      <c r="H57" s="52">
        <v>328</v>
      </c>
      <c r="I57" s="52">
        <f>weekly_deaths_location_cause_and_excess_deaths[[#This Row],[Cancer deaths]]-weekly_deaths_location_cause_and_excess_deaths[[#This Row],[Cancer five year average]]</f>
        <v>-24</v>
      </c>
      <c r="J57" s="52">
        <v>122</v>
      </c>
      <c r="K57" s="52">
        <v>155</v>
      </c>
      <c r="L57" s="52">
        <f>weekly_deaths_location_cause_and_excess_deaths[[#This Row],[Dementia / Alzhemier''s deaths]]-weekly_deaths_location_cause_and_excess_deaths[[#This Row],[Dementia / Alzheimer''s five year average]]</f>
        <v>-33</v>
      </c>
      <c r="M57" s="25">
        <v>308</v>
      </c>
      <c r="N57" s="25">
        <v>344</v>
      </c>
      <c r="O57" s="25">
        <f>weekly_deaths_location_cause_and_excess_deaths[[#This Row],[Circulatory deaths]]-weekly_deaths_location_cause_and_excess_deaths[[#This Row],[Circulatory five year average]]</f>
        <v>-36</v>
      </c>
      <c r="P57" s="25">
        <v>95</v>
      </c>
      <c r="Q57" s="25">
        <v>166</v>
      </c>
      <c r="R57" s="2">
        <f>weekly_deaths_location_cause_and_excess_deaths[[#This Row],[Respiratory deaths]]-weekly_deaths_location_cause_and_excess_deaths[[#This Row],[Respiratory five year average]]</f>
        <v>-71</v>
      </c>
      <c r="S57" s="25">
        <v>172</v>
      </c>
      <c r="T57" s="25">
        <v>296</v>
      </c>
      <c r="U57" s="25">
        <v>280</v>
      </c>
      <c r="V57" s="2">
        <f>weekly_deaths_location_cause_and_excess_deaths[[#This Row],[Other causes]]-weekly_deaths_location_cause_and_excess_deaths[[#This Row],[Other causes five year average]]</f>
        <v>16</v>
      </c>
      <c r="W57" s="10"/>
    </row>
    <row r="58" spans="1:23" x14ac:dyDescent="0.35">
      <c r="A58" s="14" t="s">
        <v>85</v>
      </c>
      <c r="B58" s="15">
        <v>52</v>
      </c>
      <c r="C58" s="16">
        <v>44186</v>
      </c>
      <c r="D58" s="59">
        <v>1205</v>
      </c>
      <c r="E58" s="52">
        <v>1061</v>
      </c>
      <c r="F58" s="52">
        <f>weekly_deaths_location_cause_and_excess_deaths[[#This Row],[All causes]]-weekly_deaths_location_cause_and_excess_deaths[[#This Row],[All causes five year average]]</f>
        <v>144</v>
      </c>
      <c r="G58" s="52">
        <v>305</v>
      </c>
      <c r="H58" s="52">
        <v>271</v>
      </c>
      <c r="I58" s="52">
        <f>weekly_deaths_location_cause_and_excess_deaths[[#This Row],[Cancer deaths]]-weekly_deaths_location_cause_and_excess_deaths[[#This Row],[Cancer five year average]]</f>
        <v>34</v>
      </c>
      <c r="J58" s="52">
        <v>104</v>
      </c>
      <c r="K58" s="52">
        <v>132</v>
      </c>
      <c r="L58" s="52">
        <f>weekly_deaths_location_cause_and_excess_deaths[[#This Row],[Dementia / Alzhemier''s deaths]]-weekly_deaths_location_cause_and_excess_deaths[[#This Row],[Dementia / Alzheimer''s five year average]]</f>
        <v>-28</v>
      </c>
      <c r="M58" s="25">
        <v>285</v>
      </c>
      <c r="N58" s="25">
        <v>284</v>
      </c>
      <c r="O58" s="25">
        <f>weekly_deaths_location_cause_and_excess_deaths[[#This Row],[Circulatory deaths]]-weekly_deaths_location_cause_and_excess_deaths[[#This Row],[Circulatory five year average]]</f>
        <v>1</v>
      </c>
      <c r="P58" s="25">
        <v>78</v>
      </c>
      <c r="Q58" s="25">
        <v>160</v>
      </c>
      <c r="R58" s="2">
        <f>weekly_deaths_location_cause_and_excess_deaths[[#This Row],[Respiratory deaths]]-weekly_deaths_location_cause_and_excess_deaths[[#This Row],[Respiratory five year average]]</f>
        <v>-82</v>
      </c>
      <c r="S58" s="25">
        <v>163</v>
      </c>
      <c r="T58" s="25">
        <v>270</v>
      </c>
      <c r="U58" s="25">
        <v>214</v>
      </c>
      <c r="V58" s="2">
        <f>weekly_deaths_location_cause_and_excess_deaths[[#This Row],[Other causes]]-weekly_deaths_location_cause_and_excess_deaths[[#This Row],[Other causes five year average]]</f>
        <v>56</v>
      </c>
      <c r="W58" s="10"/>
    </row>
    <row r="59" spans="1:23" x14ac:dyDescent="0.35">
      <c r="A59" s="11" t="s">
        <v>85</v>
      </c>
      <c r="B59" s="15">
        <v>53</v>
      </c>
      <c r="C59" s="16">
        <v>44193</v>
      </c>
      <c r="D59" s="59">
        <v>1178</v>
      </c>
      <c r="E59" s="52">
        <v>1018</v>
      </c>
      <c r="F59" s="52">
        <f>weekly_deaths_location_cause_and_excess_deaths[[#This Row],[All causes]]-weekly_deaths_location_cause_and_excess_deaths[[#This Row],[All causes five year average]]</f>
        <v>160</v>
      </c>
      <c r="G59" s="52">
        <v>298</v>
      </c>
      <c r="H59" s="52">
        <v>276</v>
      </c>
      <c r="I59" s="52">
        <f>weekly_deaths_location_cause_and_excess_deaths[[#This Row],[Cancer deaths]]-weekly_deaths_location_cause_and_excess_deaths[[#This Row],[Cancer five year average]]</f>
        <v>22</v>
      </c>
      <c r="J59" s="52">
        <v>99</v>
      </c>
      <c r="K59" s="52">
        <v>122</v>
      </c>
      <c r="L59" s="52">
        <f>weekly_deaths_location_cause_and_excess_deaths[[#This Row],[Dementia / Alzhemier''s deaths]]-weekly_deaths_location_cause_and_excess_deaths[[#This Row],[Dementia / Alzheimer''s five year average]]</f>
        <v>-23</v>
      </c>
      <c r="M59" s="25">
        <v>281</v>
      </c>
      <c r="N59" s="25">
        <v>284</v>
      </c>
      <c r="O59" s="25">
        <f>weekly_deaths_location_cause_and_excess_deaths[[#This Row],[Circulatory deaths]]-weekly_deaths_location_cause_and_excess_deaths[[#This Row],[Circulatory five year average]]</f>
        <v>-3</v>
      </c>
      <c r="P59" s="25">
        <v>97</v>
      </c>
      <c r="Q59" s="25">
        <v>145</v>
      </c>
      <c r="R59" s="2">
        <f>weekly_deaths_location_cause_and_excess_deaths[[#This Row],[Respiratory deaths]]-weekly_deaths_location_cause_and_excess_deaths[[#This Row],[Respiratory five year average]]</f>
        <v>-48</v>
      </c>
      <c r="S59" s="25">
        <v>154</v>
      </c>
      <c r="T59" s="25">
        <v>249</v>
      </c>
      <c r="U59" s="25">
        <v>191</v>
      </c>
      <c r="V59" s="2">
        <f>weekly_deaths_location_cause_and_excess_deaths[[#This Row],[Other causes]]-weekly_deaths_location_cause_and_excess_deaths[[#This Row],[Other causes five year average]]</f>
        <v>58</v>
      </c>
      <c r="W59" s="10"/>
    </row>
    <row r="60" spans="1:23" s="85" customFormat="1" x14ac:dyDescent="0.35">
      <c r="A60" s="83" t="s">
        <v>179</v>
      </c>
      <c r="B60" s="84" t="s">
        <v>179</v>
      </c>
      <c r="C60" s="84" t="s">
        <v>179</v>
      </c>
      <c r="D60" s="76">
        <f>SUBTOTAL(109,weekly_deaths_location_cause_and_excess_deaths[All causes])</f>
        <v>64823</v>
      </c>
      <c r="E60" s="77">
        <f>SUBTOTAL(109,weekly_deaths_location_cause_and_excess_deaths[All causes five year average])</f>
        <v>58645</v>
      </c>
      <c r="F60" s="77">
        <f>SUBTOTAL(109,weekly_deaths_location_cause_and_excess_deaths[All causes five year average])</f>
        <v>58645</v>
      </c>
      <c r="G60" s="77">
        <f>SUBTOTAL(109,weekly_deaths_location_cause_and_excess_deaths[All causes excess])</f>
        <v>6178</v>
      </c>
      <c r="H60" s="77">
        <f>SUBTOTAL(109,weekly_deaths_location_cause_and_excess_deaths[All causes excess])</f>
        <v>6178</v>
      </c>
      <c r="I60" s="77">
        <f>SUBTOTAL(109,weekly_deaths_location_cause_and_excess_deaths[Cancer deaths])</f>
        <v>16501</v>
      </c>
      <c r="J60" s="77">
        <f>SUBTOTAL(109,weekly_deaths_location_cause_and_excess_deaths[All causes five year average])</f>
        <v>58645</v>
      </c>
      <c r="K60" s="77">
        <f>SUBTOTAL(109,weekly_deaths_location_cause_and_excess_deaths[All causes excess])</f>
        <v>6178</v>
      </c>
      <c r="L60" s="77">
        <f>SUBTOTAL(109,weekly_deaths_location_cause_and_excess_deaths[All causes excess])</f>
        <v>6178</v>
      </c>
      <c r="M60" s="77">
        <f>SUBTOTAL(109,weekly_deaths_location_cause_and_excess_deaths[Cancer deaths])</f>
        <v>16501</v>
      </c>
      <c r="N60" s="77">
        <f>SUBTOTAL(109,weekly_deaths_location_cause_and_excess_deaths[Cancer deaths])</f>
        <v>16501</v>
      </c>
      <c r="O60" s="77">
        <f>SUBTOTAL(109,weekly_deaths_location_cause_and_excess_deaths[Cancer five year average])</f>
        <v>16429</v>
      </c>
      <c r="P60" s="77">
        <f>SUBTOTAL(109,weekly_deaths_location_cause_and_excess_deaths[All causes excess])</f>
        <v>6178</v>
      </c>
      <c r="Q60" s="77">
        <f>SUBTOTAL(109,weekly_deaths_location_cause_and_excess_deaths[Cancer deaths])</f>
        <v>16501</v>
      </c>
      <c r="R60" s="77">
        <f>SUBTOTAL(109,weekly_deaths_location_cause_and_excess_deaths[Cancer deaths])</f>
        <v>16501</v>
      </c>
      <c r="S60" s="77">
        <f>SUBTOTAL(109,weekly_deaths_location_cause_and_excess_deaths[Cancer five year average])</f>
        <v>16429</v>
      </c>
      <c r="T60" s="77">
        <f>SUBTOTAL(109,weekly_deaths_location_cause_and_excess_deaths[Cancer five year average])</f>
        <v>16429</v>
      </c>
      <c r="U60" s="77">
        <f>SUBTOTAL(109,weekly_deaths_location_cause_and_excess_deaths[Cancer excess])</f>
        <v>72</v>
      </c>
      <c r="V60" s="77">
        <f>SUBTOTAL(109,weekly_deaths_location_cause_and_excess_deaths[Cancer deaths])</f>
        <v>16501</v>
      </c>
      <c r="W60" s="23"/>
    </row>
    <row r="62" spans="1:23" s="62" customFormat="1" x14ac:dyDescent="0.35">
      <c r="A62" s="22" t="s">
        <v>157</v>
      </c>
      <c r="B62" s="23"/>
      <c r="C62" s="5"/>
      <c r="D62" s="5"/>
      <c r="E62" s="24"/>
      <c r="F62" s="24"/>
      <c r="G62" s="5"/>
      <c r="H62" s="5"/>
      <c r="I62" s="5"/>
      <c r="J62" s="5"/>
      <c r="K62" s="5"/>
      <c r="L62" s="5"/>
      <c r="M62" s="18"/>
      <c r="N62" s="18"/>
      <c r="O62" s="18"/>
      <c r="P62" s="18"/>
      <c r="Q62" s="5"/>
      <c r="R62" s="5"/>
      <c r="S62" s="18"/>
      <c r="T62" s="5"/>
      <c r="U62" s="5"/>
      <c r="V62" s="5"/>
      <c r="W62" s="32"/>
    </row>
    <row r="63" spans="1:23" ht="62.5" thickBot="1" x14ac:dyDescent="0.4">
      <c r="A63" s="9" t="s">
        <v>63</v>
      </c>
      <c r="B63" s="13" t="s">
        <v>57</v>
      </c>
      <c r="C63" s="13" t="s">
        <v>58</v>
      </c>
      <c r="D63" s="8" t="s">
        <v>80</v>
      </c>
      <c r="E63" s="9" t="s">
        <v>134</v>
      </c>
      <c r="F63" s="9" t="s">
        <v>139</v>
      </c>
      <c r="G63" s="7" t="s">
        <v>81</v>
      </c>
      <c r="H63" s="9" t="s">
        <v>135</v>
      </c>
      <c r="I63" s="9" t="s">
        <v>136</v>
      </c>
      <c r="J63" s="9" t="s">
        <v>84</v>
      </c>
      <c r="K63" s="9" t="s">
        <v>137</v>
      </c>
      <c r="L63" s="9" t="s">
        <v>138</v>
      </c>
      <c r="M63" s="9" t="s">
        <v>145</v>
      </c>
      <c r="N63" s="9" t="s">
        <v>146</v>
      </c>
      <c r="O63" s="9" t="s">
        <v>147</v>
      </c>
      <c r="P63" s="9" t="s">
        <v>82</v>
      </c>
      <c r="Q63" s="9" t="s">
        <v>140</v>
      </c>
      <c r="R63" s="9" t="s">
        <v>141</v>
      </c>
      <c r="S63" s="9" t="s">
        <v>83</v>
      </c>
      <c r="T63" s="9" t="s">
        <v>88</v>
      </c>
      <c r="U63" s="9" t="s">
        <v>142</v>
      </c>
      <c r="V63" s="26" t="s">
        <v>143</v>
      </c>
    </row>
    <row r="64" spans="1:23" x14ac:dyDescent="0.35">
      <c r="A64" s="14" t="s">
        <v>85</v>
      </c>
      <c r="B64" s="15">
        <v>1</v>
      </c>
      <c r="C64" s="16">
        <v>43829</v>
      </c>
      <c r="D64" s="57">
        <v>306</v>
      </c>
      <c r="E64" s="2">
        <v>314</v>
      </c>
      <c r="F64" s="2">
        <f>weekly_deaths_location_cause_and_excess_deaths_care_homes[[#This Row],[All causes]]-weekly_deaths_location_cause_and_excess_deaths_care_homes[[#This Row],[All causes five year average]]</f>
        <v>-8</v>
      </c>
      <c r="G64" s="2">
        <v>75</v>
      </c>
      <c r="H64" s="2">
        <v>71</v>
      </c>
      <c r="I64" s="2">
        <f>weekly_deaths_location_cause_and_excess_deaths_care_homes[[#This Row],[Cancer deaths]]-weekly_deaths_location_cause_and_excess_deaths_care_homes[[#This Row],[Cancer five year average]]</f>
        <v>4</v>
      </c>
      <c r="J64" s="2">
        <v>105</v>
      </c>
      <c r="K64" s="2">
        <v>102</v>
      </c>
      <c r="L64" s="2">
        <f>weekly_deaths_location_cause_and_excess_deaths_care_homes[[#This Row],[Dementia / Alzhemier''s deaths]]-weekly_deaths_location_cause_and_excess_deaths_care_homes[[#This Row],[Dementia / Alzheimer''s five year average]]</f>
        <v>3</v>
      </c>
      <c r="M64" s="25">
        <v>55</v>
      </c>
      <c r="N64" s="25">
        <v>63</v>
      </c>
      <c r="O64" s="25">
        <f>weekly_deaths_location_cause_and_excess_deaths_care_homes[[#This Row],[Circulatory deaths]]-weekly_deaths_location_cause_and_excess_deaths_care_homes[[#This Row],[Circulatory five year average]]</f>
        <v>-8</v>
      </c>
      <c r="P64" s="25">
        <v>31</v>
      </c>
      <c r="Q64" s="25">
        <v>35</v>
      </c>
      <c r="R64" s="25">
        <f>weekly_deaths_location_cause_and_excess_deaths_care_homes[[#This Row],[Respiratory deaths]]-weekly_deaths_location_cause_and_excess_deaths_care_homes[[#This Row],[Respiratory five year average]]</f>
        <v>-4</v>
      </c>
      <c r="S64" s="25">
        <v>0</v>
      </c>
      <c r="T64" s="52">
        <v>40</v>
      </c>
      <c r="U64" s="52">
        <v>43</v>
      </c>
      <c r="V64" s="25">
        <f>weekly_deaths_location_cause_and_excess_deaths_care_homes[[#This Row],[Other causes]]-weekly_deaths_location_cause_and_excess_deaths_care_homes[[#This Row],[Other causes five year average]]</f>
        <v>-3</v>
      </c>
    </row>
    <row r="65" spans="1:22" x14ac:dyDescent="0.35">
      <c r="A65" s="14" t="s">
        <v>85</v>
      </c>
      <c r="B65" s="15">
        <v>2</v>
      </c>
      <c r="C65" s="16">
        <v>43836</v>
      </c>
      <c r="D65" s="57">
        <v>359</v>
      </c>
      <c r="E65" s="2">
        <v>367</v>
      </c>
      <c r="F65" s="2">
        <f>weekly_deaths_location_cause_and_excess_deaths_care_homes[[#This Row],[All causes]]-weekly_deaths_location_cause_and_excess_deaths_care_homes[[#This Row],[All causes five year average]]</f>
        <v>-8</v>
      </c>
      <c r="G65" s="2">
        <v>81</v>
      </c>
      <c r="H65" s="2">
        <v>79</v>
      </c>
      <c r="I65" s="2">
        <f>weekly_deaths_location_cause_and_excess_deaths_care_homes[[#This Row],[Cancer deaths]]-weekly_deaths_location_cause_and_excess_deaths_care_homes[[#This Row],[Cancer five year average]]</f>
        <v>2</v>
      </c>
      <c r="J65" s="2">
        <v>131</v>
      </c>
      <c r="K65" s="2">
        <v>119</v>
      </c>
      <c r="L65" s="2">
        <f>weekly_deaths_location_cause_and_excess_deaths_care_homes[[#This Row],[Dementia / Alzhemier''s deaths]]-weekly_deaths_location_cause_and_excess_deaths_care_homes[[#This Row],[Dementia / Alzheimer''s five year average]]</f>
        <v>12</v>
      </c>
      <c r="M65" s="25">
        <v>60</v>
      </c>
      <c r="N65" s="25">
        <v>72</v>
      </c>
      <c r="O65" s="25">
        <f>weekly_deaths_location_cause_and_excess_deaths_care_homes[[#This Row],[Circulatory deaths]]-weekly_deaths_location_cause_and_excess_deaths_care_homes[[#This Row],[Circulatory five year average]]</f>
        <v>-12</v>
      </c>
      <c r="P65" s="25">
        <v>37</v>
      </c>
      <c r="Q65" s="25">
        <v>49</v>
      </c>
      <c r="R65" s="25">
        <f>weekly_deaths_location_cause_and_excess_deaths_care_homes[[#This Row],[Respiratory deaths]]-weekly_deaths_location_cause_and_excess_deaths_care_homes[[#This Row],[Respiratory five year average]]</f>
        <v>-12</v>
      </c>
      <c r="S65" s="25">
        <v>0</v>
      </c>
      <c r="T65" s="52">
        <v>50</v>
      </c>
      <c r="U65" s="52">
        <v>47</v>
      </c>
      <c r="V65" s="25">
        <f>weekly_deaths_location_cause_and_excess_deaths_care_homes[[#This Row],[Other causes]]-weekly_deaths_location_cause_and_excess_deaths_care_homes[[#This Row],[Other causes five year average]]</f>
        <v>3</v>
      </c>
    </row>
    <row r="66" spans="1:22" x14ac:dyDescent="0.35">
      <c r="A66" s="14" t="s">
        <v>85</v>
      </c>
      <c r="B66" s="15">
        <v>3</v>
      </c>
      <c r="C66" s="16">
        <v>43843</v>
      </c>
      <c r="D66" s="57">
        <v>321</v>
      </c>
      <c r="E66" s="2">
        <v>350</v>
      </c>
      <c r="F66" s="2">
        <f>weekly_deaths_location_cause_and_excess_deaths_care_homes[[#This Row],[All causes]]-weekly_deaths_location_cause_and_excess_deaths_care_homes[[#This Row],[All causes five year average]]</f>
        <v>-29</v>
      </c>
      <c r="G66" s="2">
        <v>74</v>
      </c>
      <c r="H66" s="2">
        <v>72</v>
      </c>
      <c r="I66" s="2">
        <f>weekly_deaths_location_cause_and_excess_deaths_care_homes[[#This Row],[Cancer deaths]]-weekly_deaths_location_cause_and_excess_deaths_care_homes[[#This Row],[Cancer five year average]]</f>
        <v>2</v>
      </c>
      <c r="J66" s="2">
        <v>106</v>
      </c>
      <c r="K66" s="2">
        <v>116</v>
      </c>
      <c r="L66" s="2">
        <f>weekly_deaths_location_cause_and_excess_deaths_care_homes[[#This Row],[Dementia / Alzhemier''s deaths]]-weekly_deaths_location_cause_and_excess_deaths_care_homes[[#This Row],[Dementia / Alzheimer''s five year average]]</f>
        <v>-10</v>
      </c>
      <c r="M66" s="25">
        <v>57</v>
      </c>
      <c r="N66" s="25">
        <v>70</v>
      </c>
      <c r="O66" s="25">
        <f>weekly_deaths_location_cause_and_excess_deaths_care_homes[[#This Row],[Circulatory deaths]]-weekly_deaths_location_cause_and_excess_deaths_care_homes[[#This Row],[Circulatory five year average]]</f>
        <v>-13</v>
      </c>
      <c r="P66" s="25">
        <v>38</v>
      </c>
      <c r="Q66" s="25">
        <v>44</v>
      </c>
      <c r="R66" s="25">
        <f>weekly_deaths_location_cause_and_excess_deaths_care_homes[[#This Row],[Respiratory deaths]]-weekly_deaths_location_cause_and_excess_deaths_care_homes[[#This Row],[Respiratory five year average]]</f>
        <v>-6</v>
      </c>
      <c r="S66" s="25">
        <v>0</v>
      </c>
      <c r="T66" s="52">
        <v>46</v>
      </c>
      <c r="U66" s="52">
        <v>48</v>
      </c>
      <c r="V66" s="25">
        <f>weekly_deaths_location_cause_and_excess_deaths_care_homes[[#This Row],[Other causes]]-weekly_deaths_location_cause_and_excess_deaths_care_homes[[#This Row],[Other causes five year average]]</f>
        <v>-2</v>
      </c>
    </row>
    <row r="67" spans="1:22" x14ac:dyDescent="0.35">
      <c r="A67" s="14" t="s">
        <v>85</v>
      </c>
      <c r="B67" s="15">
        <v>4</v>
      </c>
      <c r="C67" s="16">
        <v>43850</v>
      </c>
      <c r="D67" s="57">
        <v>295</v>
      </c>
      <c r="E67" s="2">
        <v>323</v>
      </c>
      <c r="F67" s="2">
        <f>weekly_deaths_location_cause_and_excess_deaths_care_homes[[#This Row],[All causes]]-weekly_deaths_location_cause_and_excess_deaths_care_homes[[#This Row],[All causes five year average]]</f>
        <v>-28</v>
      </c>
      <c r="G67" s="2">
        <v>66</v>
      </c>
      <c r="H67" s="2">
        <v>70</v>
      </c>
      <c r="I67" s="2">
        <f>weekly_deaths_location_cause_and_excess_deaths_care_homes[[#This Row],[Cancer deaths]]-weekly_deaths_location_cause_and_excess_deaths_care_homes[[#This Row],[Cancer five year average]]</f>
        <v>-4</v>
      </c>
      <c r="J67" s="2">
        <v>99</v>
      </c>
      <c r="K67" s="2">
        <v>104</v>
      </c>
      <c r="L67" s="2">
        <f>weekly_deaths_location_cause_and_excess_deaths_care_homes[[#This Row],[Dementia / Alzhemier''s deaths]]-weekly_deaths_location_cause_and_excess_deaths_care_homes[[#This Row],[Dementia / Alzheimer''s five year average]]</f>
        <v>-5</v>
      </c>
      <c r="M67" s="25">
        <v>47</v>
      </c>
      <c r="N67" s="25">
        <v>63</v>
      </c>
      <c r="O67" s="25">
        <f>weekly_deaths_location_cause_and_excess_deaths_care_homes[[#This Row],[Circulatory deaths]]-weekly_deaths_location_cause_and_excess_deaths_care_homes[[#This Row],[Circulatory five year average]]</f>
        <v>-16</v>
      </c>
      <c r="P67" s="25">
        <v>36</v>
      </c>
      <c r="Q67" s="25">
        <v>41</v>
      </c>
      <c r="R67" s="25">
        <f>weekly_deaths_location_cause_and_excess_deaths_care_homes[[#This Row],[Respiratory deaths]]-weekly_deaths_location_cause_and_excess_deaths_care_homes[[#This Row],[Respiratory five year average]]</f>
        <v>-5</v>
      </c>
      <c r="S67" s="25">
        <v>0</v>
      </c>
      <c r="T67" s="52">
        <v>47</v>
      </c>
      <c r="U67" s="52">
        <v>45</v>
      </c>
      <c r="V67" s="25">
        <f>weekly_deaths_location_cause_and_excess_deaths_care_homes[[#This Row],[Other causes]]-weekly_deaths_location_cause_and_excess_deaths_care_homes[[#This Row],[Other causes five year average]]</f>
        <v>2</v>
      </c>
    </row>
    <row r="68" spans="1:22" x14ac:dyDescent="0.35">
      <c r="A68" s="14" t="s">
        <v>85</v>
      </c>
      <c r="B68" s="15">
        <v>5</v>
      </c>
      <c r="C68" s="16">
        <v>43857</v>
      </c>
      <c r="D68" s="57">
        <v>280</v>
      </c>
      <c r="E68" s="2">
        <v>319</v>
      </c>
      <c r="F68" s="2">
        <f>weekly_deaths_location_cause_and_excess_deaths_care_homes[[#This Row],[All causes]]-weekly_deaths_location_cause_and_excess_deaths_care_homes[[#This Row],[All causes five year average]]</f>
        <v>-39</v>
      </c>
      <c r="G68" s="2">
        <v>93</v>
      </c>
      <c r="H68" s="2">
        <v>75</v>
      </c>
      <c r="I68" s="2">
        <f>weekly_deaths_location_cause_and_excess_deaths_care_homes[[#This Row],[Cancer deaths]]-weekly_deaths_location_cause_and_excess_deaths_care_homes[[#This Row],[Cancer five year average]]</f>
        <v>18</v>
      </c>
      <c r="J68" s="2">
        <v>100</v>
      </c>
      <c r="K68" s="2">
        <v>108</v>
      </c>
      <c r="L68" s="2">
        <f>weekly_deaths_location_cause_and_excess_deaths_care_homes[[#This Row],[Dementia / Alzhemier''s deaths]]-weekly_deaths_location_cause_and_excess_deaths_care_homes[[#This Row],[Dementia / Alzheimer''s five year average]]</f>
        <v>-8</v>
      </c>
      <c r="M68" s="25">
        <v>43</v>
      </c>
      <c r="N68" s="25">
        <v>58</v>
      </c>
      <c r="O68" s="25">
        <f>weekly_deaths_location_cause_and_excess_deaths_care_homes[[#This Row],[Circulatory deaths]]-weekly_deaths_location_cause_and_excess_deaths_care_homes[[#This Row],[Circulatory five year average]]</f>
        <v>-15</v>
      </c>
      <c r="P68" s="25">
        <v>15</v>
      </c>
      <c r="Q68" s="25">
        <v>36</v>
      </c>
      <c r="R68" s="25">
        <f>weekly_deaths_location_cause_and_excess_deaths_care_homes[[#This Row],[Respiratory deaths]]-weekly_deaths_location_cause_and_excess_deaths_care_homes[[#This Row],[Respiratory five year average]]</f>
        <v>-21</v>
      </c>
      <c r="S68" s="25">
        <v>0</v>
      </c>
      <c r="T68" s="52">
        <v>29</v>
      </c>
      <c r="U68" s="52">
        <v>42</v>
      </c>
      <c r="V68" s="25">
        <f>weekly_deaths_location_cause_and_excess_deaths_care_homes[[#This Row],[Other causes]]-weekly_deaths_location_cause_and_excess_deaths_care_homes[[#This Row],[Other causes five year average]]</f>
        <v>-13</v>
      </c>
    </row>
    <row r="69" spans="1:22" x14ac:dyDescent="0.35">
      <c r="A69" s="14" t="s">
        <v>85</v>
      </c>
      <c r="B69" s="15">
        <v>6</v>
      </c>
      <c r="C69" s="16">
        <v>43864</v>
      </c>
      <c r="D69" s="57">
        <v>288</v>
      </c>
      <c r="E69" s="2">
        <v>295</v>
      </c>
      <c r="F69" s="2">
        <f>weekly_deaths_location_cause_and_excess_deaths_care_homes[[#This Row],[All causes]]-weekly_deaths_location_cause_and_excess_deaths_care_homes[[#This Row],[All causes five year average]]</f>
        <v>-7</v>
      </c>
      <c r="G69" s="2">
        <v>71</v>
      </c>
      <c r="H69" s="2">
        <v>70</v>
      </c>
      <c r="I69" s="2">
        <f>weekly_deaths_location_cause_and_excess_deaths_care_homes[[#This Row],[Cancer deaths]]-weekly_deaths_location_cause_and_excess_deaths_care_homes[[#This Row],[Cancer five year average]]</f>
        <v>1</v>
      </c>
      <c r="J69" s="2">
        <v>101</v>
      </c>
      <c r="K69" s="2">
        <v>102</v>
      </c>
      <c r="L69" s="2">
        <f>weekly_deaths_location_cause_and_excess_deaths_care_homes[[#This Row],[Dementia / Alzhemier''s deaths]]-weekly_deaths_location_cause_and_excess_deaths_care_homes[[#This Row],[Dementia / Alzheimer''s five year average]]</f>
        <v>-1</v>
      </c>
      <c r="M69" s="25">
        <v>56</v>
      </c>
      <c r="N69" s="25">
        <v>51</v>
      </c>
      <c r="O69" s="25">
        <f>weekly_deaths_location_cause_and_excess_deaths_care_homes[[#This Row],[Circulatory deaths]]-weekly_deaths_location_cause_and_excess_deaths_care_homes[[#This Row],[Circulatory five year average]]</f>
        <v>5</v>
      </c>
      <c r="P69" s="25">
        <v>17</v>
      </c>
      <c r="Q69" s="25">
        <v>36</v>
      </c>
      <c r="R69" s="25">
        <f>weekly_deaths_location_cause_and_excess_deaths_care_homes[[#This Row],[Respiratory deaths]]-weekly_deaths_location_cause_and_excess_deaths_care_homes[[#This Row],[Respiratory five year average]]</f>
        <v>-19</v>
      </c>
      <c r="S69" s="25">
        <v>0</v>
      </c>
      <c r="T69" s="52">
        <v>43</v>
      </c>
      <c r="U69" s="52">
        <v>37</v>
      </c>
      <c r="V69" s="25">
        <f>weekly_deaths_location_cause_and_excess_deaths_care_homes[[#This Row],[Other causes]]-weekly_deaths_location_cause_and_excess_deaths_care_homes[[#This Row],[Other causes five year average]]</f>
        <v>6</v>
      </c>
    </row>
    <row r="70" spans="1:22" x14ac:dyDescent="0.35">
      <c r="A70" s="14" t="s">
        <v>85</v>
      </c>
      <c r="B70" s="15">
        <v>7</v>
      </c>
      <c r="C70" s="16">
        <v>43871</v>
      </c>
      <c r="D70" s="57">
        <v>258</v>
      </c>
      <c r="E70" s="2">
        <v>291</v>
      </c>
      <c r="F70" s="2">
        <f>weekly_deaths_location_cause_and_excess_deaths_care_homes[[#This Row],[All causes]]-weekly_deaths_location_cause_and_excess_deaths_care_homes[[#This Row],[All causes five year average]]</f>
        <v>-33</v>
      </c>
      <c r="G70" s="2">
        <v>72</v>
      </c>
      <c r="H70" s="2">
        <v>67</v>
      </c>
      <c r="I70" s="2">
        <f>weekly_deaths_location_cause_and_excess_deaths_care_homes[[#This Row],[Cancer deaths]]-weekly_deaths_location_cause_and_excess_deaths_care_homes[[#This Row],[Cancer five year average]]</f>
        <v>5</v>
      </c>
      <c r="J70" s="2">
        <v>83</v>
      </c>
      <c r="K70" s="2">
        <v>95</v>
      </c>
      <c r="L70" s="2">
        <f>weekly_deaths_location_cause_and_excess_deaths_care_homes[[#This Row],[Dementia / Alzhemier''s deaths]]-weekly_deaths_location_cause_and_excess_deaths_care_homes[[#This Row],[Dementia / Alzheimer''s five year average]]</f>
        <v>-12</v>
      </c>
      <c r="M70" s="25">
        <v>41</v>
      </c>
      <c r="N70" s="25">
        <v>55</v>
      </c>
      <c r="O70" s="25">
        <f>weekly_deaths_location_cause_and_excess_deaths_care_homes[[#This Row],[Circulatory deaths]]-weekly_deaths_location_cause_and_excess_deaths_care_homes[[#This Row],[Circulatory five year average]]</f>
        <v>-14</v>
      </c>
      <c r="P70" s="25">
        <v>26</v>
      </c>
      <c r="Q70" s="25">
        <v>32</v>
      </c>
      <c r="R70" s="25">
        <f>weekly_deaths_location_cause_and_excess_deaths_care_homes[[#This Row],[Respiratory deaths]]-weekly_deaths_location_cause_and_excess_deaths_care_homes[[#This Row],[Respiratory five year average]]</f>
        <v>-6</v>
      </c>
      <c r="S70" s="25">
        <v>0</v>
      </c>
      <c r="T70" s="52">
        <v>36</v>
      </c>
      <c r="U70" s="52">
        <v>41</v>
      </c>
      <c r="V70" s="25">
        <f>weekly_deaths_location_cause_and_excess_deaths_care_homes[[#This Row],[Other causes]]-weekly_deaths_location_cause_and_excess_deaths_care_homes[[#This Row],[Other causes five year average]]</f>
        <v>-5</v>
      </c>
    </row>
    <row r="71" spans="1:22" x14ac:dyDescent="0.35">
      <c r="A71" s="14" t="s">
        <v>85</v>
      </c>
      <c r="B71" s="15">
        <v>8</v>
      </c>
      <c r="C71" s="16">
        <v>43878</v>
      </c>
      <c r="D71" s="57">
        <v>268</v>
      </c>
      <c r="E71" s="2">
        <v>302</v>
      </c>
      <c r="F71" s="2">
        <f>weekly_deaths_location_cause_and_excess_deaths_care_homes[[#This Row],[All causes]]-weekly_deaths_location_cause_and_excess_deaths_care_homes[[#This Row],[All causes five year average]]</f>
        <v>-34</v>
      </c>
      <c r="G71" s="2">
        <v>64</v>
      </c>
      <c r="H71" s="2">
        <v>72</v>
      </c>
      <c r="I71" s="2">
        <f>weekly_deaths_location_cause_and_excess_deaths_care_homes[[#This Row],[Cancer deaths]]-weekly_deaths_location_cause_and_excess_deaths_care_homes[[#This Row],[Cancer five year average]]</f>
        <v>-8</v>
      </c>
      <c r="J71" s="2">
        <v>77</v>
      </c>
      <c r="K71" s="2">
        <v>92</v>
      </c>
      <c r="L71" s="2">
        <f>weekly_deaths_location_cause_and_excess_deaths_care_homes[[#This Row],[Dementia / Alzhemier''s deaths]]-weekly_deaths_location_cause_and_excess_deaths_care_homes[[#This Row],[Dementia / Alzheimer''s five year average]]</f>
        <v>-15</v>
      </c>
      <c r="M71" s="25">
        <v>51</v>
      </c>
      <c r="N71" s="25">
        <v>62</v>
      </c>
      <c r="O71" s="25">
        <f>weekly_deaths_location_cause_and_excess_deaths_care_homes[[#This Row],[Circulatory deaths]]-weekly_deaths_location_cause_and_excess_deaths_care_homes[[#This Row],[Circulatory five year average]]</f>
        <v>-11</v>
      </c>
      <c r="P71" s="25">
        <v>23</v>
      </c>
      <c r="Q71" s="25">
        <v>34</v>
      </c>
      <c r="R71" s="25">
        <f>weekly_deaths_location_cause_and_excess_deaths_care_homes[[#This Row],[Respiratory deaths]]-weekly_deaths_location_cause_and_excess_deaths_care_homes[[#This Row],[Respiratory five year average]]</f>
        <v>-11</v>
      </c>
      <c r="S71" s="25">
        <v>0</v>
      </c>
      <c r="T71" s="52">
        <v>53</v>
      </c>
      <c r="U71" s="52">
        <v>42</v>
      </c>
      <c r="V71" s="25">
        <f>weekly_deaths_location_cause_and_excess_deaths_care_homes[[#This Row],[Other causes]]-weekly_deaths_location_cause_and_excess_deaths_care_homes[[#This Row],[Other causes five year average]]</f>
        <v>11</v>
      </c>
    </row>
    <row r="72" spans="1:22" x14ac:dyDescent="0.35">
      <c r="A72" s="14" t="s">
        <v>85</v>
      </c>
      <c r="B72" s="15">
        <v>9</v>
      </c>
      <c r="C72" s="16">
        <v>43885</v>
      </c>
      <c r="D72" s="57">
        <v>267</v>
      </c>
      <c r="E72" s="2">
        <v>273</v>
      </c>
      <c r="F72" s="2">
        <f>weekly_deaths_location_cause_and_excess_deaths_care_homes[[#This Row],[All causes]]-weekly_deaths_location_cause_and_excess_deaths_care_homes[[#This Row],[All causes five year average]]</f>
        <v>-6</v>
      </c>
      <c r="G72" s="2">
        <v>79</v>
      </c>
      <c r="H72" s="2">
        <v>64</v>
      </c>
      <c r="I72" s="2">
        <f>weekly_deaths_location_cause_and_excess_deaths_care_homes[[#This Row],[Cancer deaths]]-weekly_deaths_location_cause_and_excess_deaths_care_homes[[#This Row],[Cancer five year average]]</f>
        <v>15</v>
      </c>
      <c r="J72" s="2">
        <v>86</v>
      </c>
      <c r="K72" s="2">
        <v>93</v>
      </c>
      <c r="L72" s="2">
        <f>weekly_deaths_location_cause_and_excess_deaths_care_homes[[#This Row],[Dementia / Alzhemier''s deaths]]-weekly_deaths_location_cause_and_excess_deaths_care_homes[[#This Row],[Dementia / Alzheimer''s five year average]]</f>
        <v>-7</v>
      </c>
      <c r="M72" s="25">
        <v>44</v>
      </c>
      <c r="N72" s="25">
        <v>48</v>
      </c>
      <c r="O72" s="25">
        <f>weekly_deaths_location_cause_and_excess_deaths_care_homes[[#This Row],[Circulatory deaths]]-weekly_deaths_location_cause_and_excess_deaths_care_homes[[#This Row],[Circulatory five year average]]</f>
        <v>-4</v>
      </c>
      <c r="P72" s="25">
        <v>18</v>
      </c>
      <c r="Q72" s="25">
        <v>30</v>
      </c>
      <c r="R72" s="25">
        <f>weekly_deaths_location_cause_and_excess_deaths_care_homes[[#This Row],[Respiratory deaths]]-weekly_deaths_location_cause_and_excess_deaths_care_homes[[#This Row],[Respiratory five year average]]</f>
        <v>-12</v>
      </c>
      <c r="S72" s="25">
        <v>0</v>
      </c>
      <c r="T72" s="52">
        <v>40</v>
      </c>
      <c r="U72" s="52">
        <v>38</v>
      </c>
      <c r="V72" s="25">
        <f>weekly_deaths_location_cause_and_excess_deaths_care_homes[[#This Row],[Other causes]]-weekly_deaths_location_cause_and_excess_deaths_care_homes[[#This Row],[Other causes five year average]]</f>
        <v>2</v>
      </c>
    </row>
    <row r="73" spans="1:22" x14ac:dyDescent="0.35">
      <c r="A73" s="14" t="s">
        <v>85</v>
      </c>
      <c r="B73" s="15">
        <v>10</v>
      </c>
      <c r="C73" s="16">
        <v>43892</v>
      </c>
      <c r="D73" s="57">
        <v>290</v>
      </c>
      <c r="E73" s="2">
        <v>295</v>
      </c>
      <c r="F73" s="2">
        <f>weekly_deaths_location_cause_and_excess_deaths_care_homes[[#This Row],[All causes]]-weekly_deaths_location_cause_and_excess_deaths_care_homes[[#This Row],[All causes five year average]]</f>
        <v>-5</v>
      </c>
      <c r="G73" s="2">
        <v>66</v>
      </c>
      <c r="H73" s="2">
        <v>69</v>
      </c>
      <c r="I73" s="2">
        <f>weekly_deaths_location_cause_and_excess_deaths_care_homes[[#This Row],[Cancer deaths]]-weekly_deaths_location_cause_and_excess_deaths_care_homes[[#This Row],[Cancer five year average]]</f>
        <v>-3</v>
      </c>
      <c r="J73" s="2">
        <v>99</v>
      </c>
      <c r="K73" s="2">
        <v>89</v>
      </c>
      <c r="L73" s="2">
        <f>weekly_deaths_location_cause_and_excess_deaths_care_homes[[#This Row],[Dementia / Alzhemier''s deaths]]-weekly_deaths_location_cause_and_excess_deaths_care_homes[[#This Row],[Dementia / Alzheimer''s five year average]]</f>
        <v>10</v>
      </c>
      <c r="M73" s="25">
        <v>59</v>
      </c>
      <c r="N73" s="25">
        <v>64</v>
      </c>
      <c r="O73" s="25">
        <f>weekly_deaths_location_cause_and_excess_deaths_care_homes[[#This Row],[Circulatory deaths]]-weekly_deaths_location_cause_and_excess_deaths_care_homes[[#This Row],[Circulatory five year average]]</f>
        <v>-5</v>
      </c>
      <c r="P73" s="25">
        <v>20</v>
      </c>
      <c r="Q73" s="25">
        <v>28</v>
      </c>
      <c r="R73" s="25">
        <f>weekly_deaths_location_cause_and_excess_deaths_care_homes[[#This Row],[Respiratory deaths]]-weekly_deaths_location_cause_and_excess_deaths_care_homes[[#This Row],[Respiratory five year average]]</f>
        <v>-8</v>
      </c>
      <c r="S73" s="25">
        <v>0</v>
      </c>
      <c r="T73" s="52">
        <v>46</v>
      </c>
      <c r="U73" s="52">
        <v>45</v>
      </c>
      <c r="V73" s="25">
        <f>weekly_deaths_location_cause_and_excess_deaths_care_homes[[#This Row],[Other causes]]-weekly_deaths_location_cause_and_excess_deaths_care_homes[[#This Row],[Other causes five year average]]</f>
        <v>1</v>
      </c>
    </row>
    <row r="74" spans="1:22" x14ac:dyDescent="0.35">
      <c r="A74" s="14" t="s">
        <v>85</v>
      </c>
      <c r="B74" s="15">
        <v>11</v>
      </c>
      <c r="C74" s="16">
        <v>43899</v>
      </c>
      <c r="D74" s="57">
        <v>261</v>
      </c>
      <c r="E74" s="2">
        <v>281</v>
      </c>
      <c r="F74" s="2">
        <f>weekly_deaths_location_cause_and_excess_deaths_care_homes[[#This Row],[All causes]]-weekly_deaths_location_cause_and_excess_deaths_care_homes[[#This Row],[All causes five year average]]</f>
        <v>-20</v>
      </c>
      <c r="G74" s="2">
        <v>65</v>
      </c>
      <c r="H74" s="2">
        <v>70</v>
      </c>
      <c r="I74" s="2">
        <f>weekly_deaths_location_cause_and_excess_deaths_care_homes[[#This Row],[Cancer deaths]]-weekly_deaths_location_cause_and_excess_deaths_care_homes[[#This Row],[Cancer five year average]]</f>
        <v>-5</v>
      </c>
      <c r="J74" s="2">
        <v>84</v>
      </c>
      <c r="K74" s="2">
        <v>85</v>
      </c>
      <c r="L74" s="2">
        <f>weekly_deaths_location_cause_and_excess_deaths_care_homes[[#This Row],[Dementia / Alzhemier''s deaths]]-weekly_deaths_location_cause_and_excess_deaths_care_homes[[#This Row],[Dementia / Alzheimer''s five year average]]</f>
        <v>-1</v>
      </c>
      <c r="M74" s="25">
        <v>53</v>
      </c>
      <c r="N74" s="25">
        <v>61</v>
      </c>
      <c r="O74" s="25">
        <f>weekly_deaths_location_cause_and_excess_deaths_care_homes[[#This Row],[Circulatory deaths]]-weekly_deaths_location_cause_and_excess_deaths_care_homes[[#This Row],[Circulatory five year average]]</f>
        <v>-8</v>
      </c>
      <c r="P74" s="25">
        <v>20</v>
      </c>
      <c r="Q74" s="25">
        <v>26</v>
      </c>
      <c r="R74" s="25">
        <f>weekly_deaths_location_cause_and_excess_deaths_care_homes[[#This Row],[Respiratory deaths]]-weekly_deaths_location_cause_and_excess_deaths_care_homes[[#This Row],[Respiratory five year average]]</f>
        <v>-6</v>
      </c>
      <c r="S74" s="25">
        <v>0</v>
      </c>
      <c r="T74" s="52">
        <v>39</v>
      </c>
      <c r="U74" s="52">
        <v>39</v>
      </c>
      <c r="V74" s="25">
        <f>weekly_deaths_location_cause_and_excess_deaths_care_homes[[#This Row],[Other causes]]-weekly_deaths_location_cause_and_excess_deaths_care_homes[[#This Row],[Other causes five year average]]</f>
        <v>0</v>
      </c>
    </row>
    <row r="75" spans="1:22" x14ac:dyDescent="0.35">
      <c r="A75" s="14" t="s">
        <v>85</v>
      </c>
      <c r="B75" s="15">
        <v>12</v>
      </c>
      <c r="C75" s="16">
        <v>43906</v>
      </c>
      <c r="D75" s="57">
        <v>278</v>
      </c>
      <c r="E75" s="2">
        <v>265</v>
      </c>
      <c r="F75" s="2">
        <f>weekly_deaths_location_cause_and_excess_deaths_care_homes[[#This Row],[All causes]]-weekly_deaths_location_cause_and_excess_deaths_care_homes[[#This Row],[All causes five year average]]</f>
        <v>13</v>
      </c>
      <c r="G75" s="2">
        <v>81</v>
      </c>
      <c r="H75" s="2">
        <v>69</v>
      </c>
      <c r="I75" s="2">
        <f>weekly_deaths_location_cause_and_excess_deaths_care_homes[[#This Row],[Cancer deaths]]-weekly_deaths_location_cause_and_excess_deaths_care_homes[[#This Row],[Cancer five year average]]</f>
        <v>12</v>
      </c>
      <c r="J75" s="2">
        <v>87</v>
      </c>
      <c r="K75" s="2">
        <v>83</v>
      </c>
      <c r="L75" s="2">
        <f>weekly_deaths_location_cause_and_excess_deaths_care_homes[[#This Row],[Dementia / Alzhemier''s deaths]]-weekly_deaths_location_cause_and_excess_deaths_care_homes[[#This Row],[Dementia / Alzheimer''s five year average]]</f>
        <v>4</v>
      </c>
      <c r="M75" s="25">
        <v>42</v>
      </c>
      <c r="N75" s="25">
        <v>53</v>
      </c>
      <c r="O75" s="25">
        <f>weekly_deaths_location_cause_and_excess_deaths_care_homes[[#This Row],[Circulatory deaths]]-weekly_deaths_location_cause_and_excess_deaths_care_homes[[#This Row],[Circulatory five year average]]</f>
        <v>-11</v>
      </c>
      <c r="P75" s="25">
        <v>29</v>
      </c>
      <c r="Q75" s="25">
        <v>25</v>
      </c>
      <c r="R75" s="25">
        <f>weekly_deaths_location_cause_and_excess_deaths_care_homes[[#This Row],[Respiratory deaths]]-weekly_deaths_location_cause_and_excess_deaths_care_homes[[#This Row],[Respiratory five year average]]</f>
        <v>4</v>
      </c>
      <c r="S75" s="25">
        <v>0</v>
      </c>
      <c r="T75" s="52">
        <v>39</v>
      </c>
      <c r="U75" s="52">
        <v>35</v>
      </c>
      <c r="V75" s="25">
        <f>weekly_deaths_location_cause_and_excess_deaths_care_homes[[#This Row],[Other causes]]-weekly_deaths_location_cause_and_excess_deaths_care_homes[[#This Row],[Other causes five year average]]</f>
        <v>4</v>
      </c>
    </row>
    <row r="76" spans="1:22" x14ac:dyDescent="0.35">
      <c r="A76" s="14" t="s">
        <v>85</v>
      </c>
      <c r="B76" s="15">
        <v>13</v>
      </c>
      <c r="C76" s="16">
        <v>43913</v>
      </c>
      <c r="D76" s="57">
        <v>266</v>
      </c>
      <c r="E76" s="2">
        <v>258</v>
      </c>
      <c r="F76" s="2">
        <f>weekly_deaths_location_cause_and_excess_deaths_care_homes[[#This Row],[All causes]]-weekly_deaths_location_cause_and_excess_deaths_care_homes[[#This Row],[All causes five year average]]</f>
        <v>8</v>
      </c>
      <c r="G76" s="2">
        <v>56</v>
      </c>
      <c r="H76" s="2">
        <v>66</v>
      </c>
      <c r="I76" s="2">
        <f>weekly_deaths_location_cause_and_excess_deaths_care_homes[[#This Row],[Cancer deaths]]-weekly_deaths_location_cause_and_excess_deaths_care_homes[[#This Row],[Cancer five year average]]</f>
        <v>-10</v>
      </c>
      <c r="J76" s="2">
        <v>101</v>
      </c>
      <c r="K76" s="2">
        <v>83</v>
      </c>
      <c r="L76" s="2">
        <f>weekly_deaths_location_cause_and_excess_deaths_care_homes[[#This Row],[Dementia / Alzhemier''s deaths]]-weekly_deaths_location_cause_and_excess_deaths_care_homes[[#This Row],[Dementia / Alzheimer''s five year average]]</f>
        <v>18</v>
      </c>
      <c r="M76" s="25">
        <v>43</v>
      </c>
      <c r="N76" s="25">
        <v>48</v>
      </c>
      <c r="O76" s="25">
        <f>weekly_deaths_location_cause_and_excess_deaths_care_homes[[#This Row],[Circulatory deaths]]-weekly_deaths_location_cause_and_excess_deaths_care_homes[[#This Row],[Circulatory five year average]]</f>
        <v>-5</v>
      </c>
      <c r="P76" s="25">
        <v>26</v>
      </c>
      <c r="Q76" s="25">
        <v>21</v>
      </c>
      <c r="R76" s="25">
        <f>weekly_deaths_location_cause_and_excess_deaths_care_homes[[#This Row],[Respiratory deaths]]-weekly_deaths_location_cause_and_excess_deaths_care_homes[[#This Row],[Respiratory five year average]]</f>
        <v>5</v>
      </c>
      <c r="S76" s="25">
        <v>4</v>
      </c>
      <c r="T76" s="52">
        <v>36</v>
      </c>
      <c r="U76" s="52">
        <v>39</v>
      </c>
      <c r="V76" s="25">
        <f>weekly_deaths_location_cause_and_excess_deaths_care_homes[[#This Row],[Other causes]]-weekly_deaths_location_cause_and_excess_deaths_care_homes[[#This Row],[Other causes five year average]]</f>
        <v>-3</v>
      </c>
    </row>
    <row r="77" spans="1:22" x14ac:dyDescent="0.35">
      <c r="A77" s="14" t="s">
        <v>85</v>
      </c>
      <c r="B77" s="15">
        <v>14</v>
      </c>
      <c r="C77" s="16">
        <v>43920</v>
      </c>
      <c r="D77" s="57">
        <v>446</v>
      </c>
      <c r="E77" s="2">
        <v>252</v>
      </c>
      <c r="F77" s="2">
        <f>weekly_deaths_location_cause_and_excess_deaths_care_homes[[#This Row],[All causes]]-weekly_deaths_location_cause_and_excess_deaths_care_homes[[#This Row],[All causes five year average]]</f>
        <v>194</v>
      </c>
      <c r="G77" s="2">
        <v>73</v>
      </c>
      <c r="H77" s="2">
        <v>63</v>
      </c>
      <c r="I77" s="2">
        <f>weekly_deaths_location_cause_and_excess_deaths_care_homes[[#This Row],[Cancer deaths]]-weekly_deaths_location_cause_and_excess_deaths_care_homes[[#This Row],[Cancer five year average]]</f>
        <v>10</v>
      </c>
      <c r="J77" s="2">
        <v>149</v>
      </c>
      <c r="K77" s="2">
        <v>82</v>
      </c>
      <c r="L77" s="2">
        <f>weekly_deaths_location_cause_and_excess_deaths_care_homes[[#This Row],[Dementia / Alzhemier''s deaths]]-weekly_deaths_location_cause_and_excess_deaths_care_homes[[#This Row],[Dementia / Alzheimer''s five year average]]</f>
        <v>67</v>
      </c>
      <c r="M77" s="25">
        <v>86</v>
      </c>
      <c r="N77" s="25">
        <v>45</v>
      </c>
      <c r="O77" s="25">
        <f>weekly_deaths_location_cause_and_excess_deaths_care_homes[[#This Row],[Circulatory deaths]]-weekly_deaths_location_cause_and_excess_deaths_care_homes[[#This Row],[Circulatory five year average]]</f>
        <v>41</v>
      </c>
      <c r="P77" s="25">
        <v>33</v>
      </c>
      <c r="Q77" s="25">
        <v>24</v>
      </c>
      <c r="R77" s="25">
        <f>weekly_deaths_location_cause_and_excess_deaths_care_homes[[#This Row],[Respiratory deaths]]-weekly_deaths_location_cause_and_excess_deaths_care_homes[[#This Row],[Respiratory five year average]]</f>
        <v>9</v>
      </c>
      <c r="S77" s="25">
        <v>43</v>
      </c>
      <c r="T77" s="52">
        <v>62</v>
      </c>
      <c r="U77" s="52">
        <v>37</v>
      </c>
      <c r="V77" s="25">
        <f>weekly_deaths_location_cause_and_excess_deaths_care_homes[[#This Row],[Other causes]]-weekly_deaths_location_cause_and_excess_deaths_care_homes[[#This Row],[Other causes five year average]]</f>
        <v>25</v>
      </c>
    </row>
    <row r="78" spans="1:22" x14ac:dyDescent="0.35">
      <c r="A78" s="14" t="s">
        <v>85</v>
      </c>
      <c r="B78" s="15">
        <v>15</v>
      </c>
      <c r="C78" s="16">
        <v>43927</v>
      </c>
      <c r="D78" s="57">
        <v>613</v>
      </c>
      <c r="E78" s="2">
        <v>251</v>
      </c>
      <c r="F78" s="2">
        <f>weekly_deaths_location_cause_and_excess_deaths_care_homes[[#This Row],[All causes]]-weekly_deaths_location_cause_and_excess_deaths_care_homes[[#This Row],[All causes five year average]]</f>
        <v>362</v>
      </c>
      <c r="G78" s="2">
        <v>63</v>
      </c>
      <c r="H78" s="2">
        <v>65</v>
      </c>
      <c r="I78" s="2">
        <f>weekly_deaths_location_cause_and_excess_deaths_care_homes[[#This Row],[Cancer deaths]]-weekly_deaths_location_cause_and_excess_deaths_care_homes[[#This Row],[Cancer five year average]]</f>
        <v>-2</v>
      </c>
      <c r="J78" s="2">
        <v>168</v>
      </c>
      <c r="K78" s="2">
        <v>77</v>
      </c>
      <c r="L78" s="2">
        <f>weekly_deaths_location_cause_and_excess_deaths_care_homes[[#This Row],[Dementia / Alzhemier''s deaths]]-weekly_deaths_location_cause_and_excess_deaths_care_homes[[#This Row],[Dementia / Alzheimer''s five year average]]</f>
        <v>91</v>
      </c>
      <c r="M78" s="25">
        <v>76</v>
      </c>
      <c r="N78" s="25">
        <v>54</v>
      </c>
      <c r="O78" s="25">
        <f>weekly_deaths_location_cause_and_excess_deaths_care_homes[[#This Row],[Circulatory deaths]]-weekly_deaths_location_cause_and_excess_deaths_care_homes[[#This Row],[Circulatory five year average]]</f>
        <v>22</v>
      </c>
      <c r="P78" s="25">
        <v>38</v>
      </c>
      <c r="Q78" s="25">
        <v>21</v>
      </c>
      <c r="R78" s="25">
        <f>weekly_deaths_location_cause_and_excess_deaths_care_homes[[#This Row],[Respiratory deaths]]-weekly_deaths_location_cause_and_excess_deaths_care_homes[[#This Row],[Respiratory five year average]]</f>
        <v>17</v>
      </c>
      <c r="S78" s="25">
        <v>186</v>
      </c>
      <c r="T78" s="52">
        <v>82</v>
      </c>
      <c r="U78" s="52">
        <v>34</v>
      </c>
      <c r="V78" s="25">
        <f>weekly_deaths_location_cause_and_excess_deaths_care_homes[[#This Row],[Other causes]]-weekly_deaths_location_cause_and_excess_deaths_care_homes[[#This Row],[Other causes five year average]]</f>
        <v>48</v>
      </c>
    </row>
    <row r="79" spans="1:22" x14ac:dyDescent="0.35">
      <c r="A79" s="14" t="s">
        <v>85</v>
      </c>
      <c r="B79" s="15">
        <v>16</v>
      </c>
      <c r="C79" s="16">
        <v>43934</v>
      </c>
      <c r="D79" s="57">
        <v>689</v>
      </c>
      <c r="E79" s="2">
        <v>248</v>
      </c>
      <c r="F79" s="2">
        <f>weekly_deaths_location_cause_and_excess_deaths_care_homes[[#This Row],[All causes]]-weekly_deaths_location_cause_and_excess_deaths_care_homes[[#This Row],[All causes five year average]]</f>
        <v>441</v>
      </c>
      <c r="G79" s="2">
        <v>69</v>
      </c>
      <c r="H79" s="2">
        <v>62</v>
      </c>
      <c r="I79" s="2">
        <f>weekly_deaths_location_cause_and_excess_deaths_care_homes[[#This Row],[Cancer deaths]]-weekly_deaths_location_cause_and_excess_deaths_care_homes[[#This Row],[Cancer five year average]]</f>
        <v>7</v>
      </c>
      <c r="J79" s="2">
        <v>147</v>
      </c>
      <c r="K79" s="2">
        <v>79</v>
      </c>
      <c r="L79" s="2">
        <f>weekly_deaths_location_cause_and_excess_deaths_care_homes[[#This Row],[Dementia / Alzhemier''s deaths]]-weekly_deaths_location_cause_and_excess_deaths_care_homes[[#This Row],[Dementia / Alzheimer''s five year average]]</f>
        <v>68</v>
      </c>
      <c r="M79" s="25">
        <v>60</v>
      </c>
      <c r="N79" s="25">
        <v>48</v>
      </c>
      <c r="O79" s="25">
        <f>weekly_deaths_location_cause_and_excess_deaths_care_homes[[#This Row],[Circulatory deaths]]-weekly_deaths_location_cause_and_excess_deaths_care_homes[[#This Row],[Circulatory five year average]]</f>
        <v>12</v>
      </c>
      <c r="P79" s="25">
        <v>25</v>
      </c>
      <c r="Q79" s="25">
        <v>20</v>
      </c>
      <c r="R79" s="25">
        <f>weekly_deaths_location_cause_and_excess_deaths_care_homes[[#This Row],[Respiratory deaths]]-weekly_deaths_location_cause_and_excess_deaths_care_homes[[#This Row],[Respiratory five year average]]</f>
        <v>5</v>
      </c>
      <c r="S79" s="25">
        <v>300</v>
      </c>
      <c r="T79" s="52">
        <v>88</v>
      </c>
      <c r="U79" s="52">
        <v>38</v>
      </c>
      <c r="V79" s="25">
        <f>weekly_deaths_location_cause_and_excess_deaths_care_homes[[#This Row],[Other causes]]-weekly_deaths_location_cause_and_excess_deaths_care_homes[[#This Row],[Other causes five year average]]</f>
        <v>50</v>
      </c>
    </row>
    <row r="80" spans="1:22" x14ac:dyDescent="0.35">
      <c r="A80" s="14" t="s">
        <v>85</v>
      </c>
      <c r="B80" s="15">
        <v>17</v>
      </c>
      <c r="C80" s="16">
        <v>43941</v>
      </c>
      <c r="D80" s="57">
        <v>694</v>
      </c>
      <c r="E80" s="2">
        <v>248</v>
      </c>
      <c r="F80" s="2">
        <f>weekly_deaths_location_cause_and_excess_deaths_care_homes[[#This Row],[All causes]]-weekly_deaths_location_cause_and_excess_deaths_care_homes[[#This Row],[All causes five year average]]</f>
        <v>446</v>
      </c>
      <c r="G80" s="2">
        <v>58</v>
      </c>
      <c r="H80" s="2">
        <v>64</v>
      </c>
      <c r="I80" s="2">
        <f>weekly_deaths_location_cause_and_excess_deaths_care_homes[[#This Row],[Cancer deaths]]-weekly_deaths_location_cause_and_excess_deaths_care_homes[[#This Row],[Cancer five year average]]</f>
        <v>-6</v>
      </c>
      <c r="J80" s="2">
        <v>143</v>
      </c>
      <c r="K80" s="2">
        <v>77</v>
      </c>
      <c r="L80" s="2">
        <f>weekly_deaths_location_cause_and_excess_deaths_care_homes[[#This Row],[Dementia / Alzhemier''s deaths]]-weekly_deaths_location_cause_and_excess_deaths_care_homes[[#This Row],[Dementia / Alzheimer''s five year average]]</f>
        <v>66</v>
      </c>
      <c r="M80" s="25">
        <v>75</v>
      </c>
      <c r="N80" s="25">
        <v>55</v>
      </c>
      <c r="O80" s="25">
        <f>weekly_deaths_location_cause_and_excess_deaths_care_homes[[#This Row],[Circulatory deaths]]-weekly_deaths_location_cause_and_excess_deaths_care_homes[[#This Row],[Circulatory five year average]]</f>
        <v>20</v>
      </c>
      <c r="P80" s="25">
        <v>25</v>
      </c>
      <c r="Q80" s="25">
        <v>21</v>
      </c>
      <c r="R80" s="25">
        <f>weekly_deaths_location_cause_and_excess_deaths_care_homes[[#This Row],[Respiratory deaths]]-weekly_deaths_location_cause_and_excess_deaths_care_homes[[#This Row],[Respiratory five year average]]</f>
        <v>4</v>
      </c>
      <c r="S80" s="25">
        <v>335</v>
      </c>
      <c r="T80" s="52">
        <v>58</v>
      </c>
      <c r="U80" s="52">
        <v>31</v>
      </c>
      <c r="V80" s="25">
        <f>weekly_deaths_location_cause_and_excess_deaths_care_homes[[#This Row],[Other causes]]-weekly_deaths_location_cause_and_excess_deaths_care_homes[[#This Row],[Other causes five year average]]</f>
        <v>27</v>
      </c>
    </row>
    <row r="81" spans="1:22" x14ac:dyDescent="0.35">
      <c r="A81" s="14" t="s">
        <v>85</v>
      </c>
      <c r="B81" s="15">
        <v>18</v>
      </c>
      <c r="C81" s="16">
        <v>43948</v>
      </c>
      <c r="D81" s="57">
        <v>640</v>
      </c>
      <c r="E81" s="2">
        <v>259</v>
      </c>
      <c r="F81" s="2">
        <f>weekly_deaths_location_cause_and_excess_deaths_care_homes[[#This Row],[All causes]]-weekly_deaths_location_cause_and_excess_deaths_care_homes[[#This Row],[All causes five year average]]</f>
        <v>381</v>
      </c>
      <c r="G81" s="2">
        <v>60</v>
      </c>
      <c r="H81" s="2">
        <v>71</v>
      </c>
      <c r="I81" s="2">
        <f>weekly_deaths_location_cause_and_excess_deaths_care_homes[[#This Row],[Cancer deaths]]-weekly_deaths_location_cause_and_excess_deaths_care_homes[[#This Row],[Cancer five year average]]</f>
        <v>-11</v>
      </c>
      <c r="J81" s="2">
        <v>126</v>
      </c>
      <c r="K81" s="2">
        <v>80</v>
      </c>
      <c r="L81" s="2">
        <f>weekly_deaths_location_cause_and_excess_deaths_care_homes[[#This Row],[Dementia / Alzhemier''s deaths]]-weekly_deaths_location_cause_and_excess_deaths_care_homes[[#This Row],[Dementia / Alzheimer''s five year average]]</f>
        <v>46</v>
      </c>
      <c r="M81" s="25">
        <v>67</v>
      </c>
      <c r="N81" s="25">
        <v>52</v>
      </c>
      <c r="O81" s="25">
        <f>weekly_deaths_location_cause_and_excess_deaths_care_homes[[#This Row],[Circulatory deaths]]-weekly_deaths_location_cause_and_excess_deaths_care_homes[[#This Row],[Circulatory five year average]]</f>
        <v>15</v>
      </c>
      <c r="P81" s="25">
        <v>17</v>
      </c>
      <c r="Q81" s="25">
        <v>24</v>
      </c>
      <c r="R81" s="25">
        <f>weekly_deaths_location_cause_and_excess_deaths_care_homes[[#This Row],[Respiratory deaths]]-weekly_deaths_location_cause_and_excess_deaths_care_homes[[#This Row],[Respiratory five year average]]</f>
        <v>-7</v>
      </c>
      <c r="S81" s="25">
        <v>306</v>
      </c>
      <c r="T81" s="52">
        <v>64</v>
      </c>
      <c r="U81" s="52">
        <v>33</v>
      </c>
      <c r="V81" s="25">
        <f>weekly_deaths_location_cause_and_excess_deaths_care_homes[[#This Row],[Other causes]]-weekly_deaths_location_cause_and_excess_deaths_care_homes[[#This Row],[Other causes five year average]]</f>
        <v>31</v>
      </c>
    </row>
    <row r="82" spans="1:22" x14ac:dyDescent="0.35">
      <c r="A82" s="14" t="s">
        <v>85</v>
      </c>
      <c r="B82" s="15">
        <v>19</v>
      </c>
      <c r="C82" s="16">
        <v>43955</v>
      </c>
      <c r="D82" s="57">
        <v>490</v>
      </c>
      <c r="E82" s="2">
        <v>239</v>
      </c>
      <c r="F82" s="2">
        <f>weekly_deaths_location_cause_and_excess_deaths_care_homes[[#This Row],[All causes]]-weekly_deaths_location_cause_and_excess_deaths_care_homes[[#This Row],[All causes five year average]]</f>
        <v>251</v>
      </c>
      <c r="G82" s="2">
        <v>50</v>
      </c>
      <c r="H82" s="2">
        <v>68</v>
      </c>
      <c r="I82" s="2">
        <f>weekly_deaths_location_cause_and_excess_deaths_care_homes[[#This Row],[Cancer deaths]]-weekly_deaths_location_cause_and_excess_deaths_care_homes[[#This Row],[Cancer five year average]]</f>
        <v>-18</v>
      </c>
      <c r="J82" s="2">
        <v>100</v>
      </c>
      <c r="K82" s="2">
        <v>69</v>
      </c>
      <c r="L82" s="2">
        <f>weekly_deaths_location_cause_and_excess_deaths_care_homes[[#This Row],[Dementia / Alzhemier''s deaths]]-weekly_deaths_location_cause_and_excess_deaths_care_homes[[#This Row],[Dementia / Alzheimer''s five year average]]</f>
        <v>31</v>
      </c>
      <c r="M82" s="25">
        <v>54</v>
      </c>
      <c r="N82" s="25">
        <v>45</v>
      </c>
      <c r="O82" s="25">
        <f>weekly_deaths_location_cause_and_excess_deaths_care_homes[[#This Row],[Circulatory deaths]]-weekly_deaths_location_cause_and_excess_deaths_care_homes[[#This Row],[Circulatory five year average]]</f>
        <v>9</v>
      </c>
      <c r="P82" s="25">
        <v>20</v>
      </c>
      <c r="Q82" s="25">
        <v>20</v>
      </c>
      <c r="R82" s="25">
        <f>weekly_deaths_location_cause_and_excess_deaths_care_homes[[#This Row],[Respiratory deaths]]-weekly_deaths_location_cause_and_excess_deaths_care_homes[[#This Row],[Respiratory five year average]]</f>
        <v>0</v>
      </c>
      <c r="S82" s="25">
        <v>235</v>
      </c>
      <c r="T82" s="52">
        <v>31</v>
      </c>
      <c r="U82" s="52">
        <v>37</v>
      </c>
      <c r="V82" s="25">
        <f>weekly_deaths_location_cause_and_excess_deaths_care_homes[[#This Row],[Other causes]]-weekly_deaths_location_cause_and_excess_deaths_care_homes[[#This Row],[Other causes five year average]]</f>
        <v>-6</v>
      </c>
    </row>
    <row r="83" spans="1:22" x14ac:dyDescent="0.35">
      <c r="A83" s="14" t="s">
        <v>85</v>
      </c>
      <c r="B83" s="15">
        <v>20</v>
      </c>
      <c r="C83" s="16">
        <v>43962</v>
      </c>
      <c r="D83" s="57">
        <v>436</v>
      </c>
      <c r="E83" s="2">
        <v>239</v>
      </c>
      <c r="F83" s="2">
        <f>weekly_deaths_location_cause_and_excess_deaths_care_homes[[#This Row],[All causes]]-weekly_deaths_location_cause_and_excess_deaths_care_homes[[#This Row],[All causes five year average]]</f>
        <v>197</v>
      </c>
      <c r="G83" s="2">
        <v>44</v>
      </c>
      <c r="H83" s="2">
        <v>67</v>
      </c>
      <c r="I83" s="2">
        <f>weekly_deaths_location_cause_and_excess_deaths_care_homes[[#This Row],[Cancer deaths]]-weekly_deaths_location_cause_and_excess_deaths_care_homes[[#This Row],[Cancer five year average]]</f>
        <v>-23</v>
      </c>
      <c r="J83" s="2">
        <v>82</v>
      </c>
      <c r="K83" s="2">
        <v>72</v>
      </c>
      <c r="L83" s="2">
        <f>weekly_deaths_location_cause_and_excess_deaths_care_homes[[#This Row],[Dementia / Alzhemier''s deaths]]-weekly_deaths_location_cause_and_excess_deaths_care_homes[[#This Row],[Dementia / Alzheimer''s five year average]]</f>
        <v>10</v>
      </c>
      <c r="M83" s="25">
        <v>52</v>
      </c>
      <c r="N83" s="25">
        <v>47</v>
      </c>
      <c r="O83" s="25">
        <f>weekly_deaths_location_cause_and_excess_deaths_care_homes[[#This Row],[Circulatory deaths]]-weekly_deaths_location_cause_and_excess_deaths_care_homes[[#This Row],[Circulatory five year average]]</f>
        <v>5</v>
      </c>
      <c r="P83" s="25">
        <v>25</v>
      </c>
      <c r="Q83" s="25">
        <v>19</v>
      </c>
      <c r="R83" s="25">
        <f>weekly_deaths_location_cause_and_excess_deaths_care_homes[[#This Row],[Respiratory deaths]]-weekly_deaths_location_cause_and_excess_deaths_care_homes[[#This Row],[Respiratory five year average]]</f>
        <v>6</v>
      </c>
      <c r="S83" s="25">
        <v>178</v>
      </c>
      <c r="T83" s="52">
        <v>55</v>
      </c>
      <c r="U83" s="52">
        <v>34</v>
      </c>
      <c r="V83" s="25">
        <f>weekly_deaths_location_cause_and_excess_deaths_care_homes[[#This Row],[Other causes]]-weekly_deaths_location_cause_and_excess_deaths_care_homes[[#This Row],[Other causes five year average]]</f>
        <v>21</v>
      </c>
    </row>
    <row r="84" spans="1:22" x14ac:dyDescent="0.35">
      <c r="A84" s="14" t="s">
        <v>85</v>
      </c>
      <c r="B84" s="15">
        <v>21</v>
      </c>
      <c r="C84" s="16">
        <v>43969</v>
      </c>
      <c r="D84" s="57">
        <v>351</v>
      </c>
      <c r="E84" s="2">
        <v>245</v>
      </c>
      <c r="F84" s="2">
        <f>weekly_deaths_location_cause_and_excess_deaths_care_homes[[#This Row],[All causes]]-weekly_deaths_location_cause_and_excess_deaths_care_homes[[#This Row],[All causes five year average]]</f>
        <v>106</v>
      </c>
      <c r="G84" s="2">
        <v>48</v>
      </c>
      <c r="H84" s="2">
        <v>67</v>
      </c>
      <c r="I84" s="2">
        <f>weekly_deaths_location_cause_and_excess_deaths_care_homes[[#This Row],[Cancer deaths]]-weekly_deaths_location_cause_and_excess_deaths_care_homes[[#This Row],[Cancer five year average]]</f>
        <v>-19</v>
      </c>
      <c r="J84" s="2">
        <v>77</v>
      </c>
      <c r="K84" s="2">
        <v>80</v>
      </c>
      <c r="L84" s="2">
        <f>weekly_deaths_location_cause_and_excess_deaths_care_homes[[#This Row],[Dementia / Alzhemier''s deaths]]-weekly_deaths_location_cause_and_excess_deaths_care_homes[[#This Row],[Dementia / Alzheimer''s five year average]]</f>
        <v>-3</v>
      </c>
      <c r="M84" s="25">
        <v>44</v>
      </c>
      <c r="N84" s="25">
        <v>45</v>
      </c>
      <c r="O84" s="25">
        <f>weekly_deaths_location_cause_and_excess_deaths_care_homes[[#This Row],[Circulatory deaths]]-weekly_deaths_location_cause_and_excess_deaths_care_homes[[#This Row],[Circulatory five year average]]</f>
        <v>-1</v>
      </c>
      <c r="P84" s="25">
        <v>19</v>
      </c>
      <c r="Q84" s="25">
        <v>20</v>
      </c>
      <c r="R84" s="25">
        <f>weekly_deaths_location_cause_and_excess_deaths_care_homes[[#This Row],[Respiratory deaths]]-weekly_deaths_location_cause_and_excess_deaths_care_homes[[#This Row],[Respiratory five year average]]</f>
        <v>-1</v>
      </c>
      <c r="S84" s="25">
        <v>120</v>
      </c>
      <c r="T84" s="52">
        <v>43</v>
      </c>
      <c r="U84" s="52">
        <v>34</v>
      </c>
      <c r="V84" s="25">
        <f>weekly_deaths_location_cause_and_excess_deaths_care_homes[[#This Row],[Other causes]]-weekly_deaths_location_cause_and_excess_deaths_care_homes[[#This Row],[Other causes five year average]]</f>
        <v>9</v>
      </c>
    </row>
    <row r="85" spans="1:22" x14ac:dyDescent="0.35">
      <c r="A85" s="14" t="s">
        <v>85</v>
      </c>
      <c r="B85" s="15">
        <v>22</v>
      </c>
      <c r="C85" s="16">
        <v>43976</v>
      </c>
      <c r="D85" s="57">
        <v>295</v>
      </c>
      <c r="E85" s="2">
        <v>236</v>
      </c>
      <c r="F85" s="2">
        <f>weekly_deaths_location_cause_and_excess_deaths_care_homes[[#This Row],[All causes]]-weekly_deaths_location_cause_and_excess_deaths_care_homes[[#This Row],[All causes five year average]]</f>
        <v>59</v>
      </c>
      <c r="G85" s="2">
        <v>61</v>
      </c>
      <c r="H85" s="2">
        <v>68</v>
      </c>
      <c r="I85" s="2">
        <f>weekly_deaths_location_cause_and_excess_deaths_care_homes[[#This Row],[Cancer deaths]]-weekly_deaths_location_cause_and_excess_deaths_care_homes[[#This Row],[Cancer five year average]]</f>
        <v>-7</v>
      </c>
      <c r="J85" s="2">
        <v>79</v>
      </c>
      <c r="K85" s="2">
        <v>71</v>
      </c>
      <c r="L85" s="2">
        <f>weekly_deaths_location_cause_and_excess_deaths_care_homes[[#This Row],[Dementia / Alzhemier''s deaths]]-weekly_deaths_location_cause_and_excess_deaths_care_homes[[#This Row],[Dementia / Alzheimer''s five year average]]</f>
        <v>8</v>
      </c>
      <c r="M85" s="25">
        <v>49</v>
      </c>
      <c r="N85" s="25">
        <v>44</v>
      </c>
      <c r="O85" s="25">
        <f>weekly_deaths_location_cause_and_excess_deaths_care_homes[[#This Row],[Circulatory deaths]]-weekly_deaths_location_cause_and_excess_deaths_care_homes[[#This Row],[Circulatory five year average]]</f>
        <v>5</v>
      </c>
      <c r="P85" s="25">
        <v>8</v>
      </c>
      <c r="Q85" s="25">
        <v>19</v>
      </c>
      <c r="R85" s="25">
        <f>weekly_deaths_location_cause_and_excess_deaths_care_homes[[#This Row],[Respiratory deaths]]-weekly_deaths_location_cause_and_excess_deaths_care_homes[[#This Row],[Respiratory five year average]]</f>
        <v>-11</v>
      </c>
      <c r="S85" s="25">
        <v>62</v>
      </c>
      <c r="T85" s="52">
        <v>36</v>
      </c>
      <c r="U85" s="52">
        <v>33</v>
      </c>
      <c r="V85" s="25">
        <f>weekly_deaths_location_cause_and_excess_deaths_care_homes[[#This Row],[Other causes]]-weekly_deaths_location_cause_and_excess_deaths_care_homes[[#This Row],[Other causes five year average]]</f>
        <v>3</v>
      </c>
    </row>
    <row r="86" spans="1:22" x14ac:dyDescent="0.35">
      <c r="A86" s="14" t="s">
        <v>85</v>
      </c>
      <c r="B86" s="15">
        <v>23</v>
      </c>
      <c r="C86" s="16">
        <v>43983</v>
      </c>
      <c r="D86" s="57">
        <v>263</v>
      </c>
      <c r="E86" s="2">
        <v>240</v>
      </c>
      <c r="F86" s="2">
        <f>weekly_deaths_location_cause_and_excess_deaths_care_homes[[#This Row],[All causes]]-weekly_deaths_location_cause_and_excess_deaths_care_homes[[#This Row],[All causes five year average]]</f>
        <v>23</v>
      </c>
      <c r="G86" s="2">
        <v>53</v>
      </c>
      <c r="H86" s="2">
        <v>66</v>
      </c>
      <c r="I86" s="2">
        <f>weekly_deaths_location_cause_and_excess_deaths_care_homes[[#This Row],[Cancer deaths]]-weekly_deaths_location_cause_and_excess_deaths_care_homes[[#This Row],[Cancer five year average]]</f>
        <v>-13</v>
      </c>
      <c r="J86" s="2">
        <v>61</v>
      </c>
      <c r="K86" s="2">
        <v>73</v>
      </c>
      <c r="L86" s="2">
        <f>weekly_deaths_location_cause_and_excess_deaths_care_homes[[#This Row],[Dementia / Alzhemier''s deaths]]-weekly_deaths_location_cause_and_excess_deaths_care_homes[[#This Row],[Dementia / Alzheimer''s five year average]]</f>
        <v>-12</v>
      </c>
      <c r="M86" s="25">
        <v>51</v>
      </c>
      <c r="N86" s="25">
        <v>46</v>
      </c>
      <c r="O86" s="25">
        <f>weekly_deaths_location_cause_and_excess_deaths_care_homes[[#This Row],[Circulatory deaths]]-weekly_deaths_location_cause_and_excess_deaths_care_homes[[#This Row],[Circulatory five year average]]</f>
        <v>5</v>
      </c>
      <c r="P86" s="25">
        <v>21</v>
      </c>
      <c r="Q86" s="25">
        <v>24</v>
      </c>
      <c r="R86" s="25">
        <f>weekly_deaths_location_cause_and_excess_deaths_care_homes[[#This Row],[Respiratory deaths]]-weekly_deaths_location_cause_and_excess_deaths_care_homes[[#This Row],[Respiratory five year average]]</f>
        <v>-3</v>
      </c>
      <c r="S86" s="25">
        <v>39</v>
      </c>
      <c r="T86" s="52">
        <v>38</v>
      </c>
      <c r="U86" s="52">
        <v>31</v>
      </c>
      <c r="V86" s="25">
        <f>weekly_deaths_location_cause_and_excess_deaths_care_homes[[#This Row],[Other causes]]-weekly_deaths_location_cause_and_excess_deaths_care_homes[[#This Row],[Other causes five year average]]</f>
        <v>7</v>
      </c>
    </row>
    <row r="87" spans="1:22" x14ac:dyDescent="0.35">
      <c r="A87" s="14" t="s">
        <v>85</v>
      </c>
      <c r="B87" s="15">
        <v>24</v>
      </c>
      <c r="C87" s="16">
        <v>43990</v>
      </c>
      <c r="D87" s="57">
        <v>236</v>
      </c>
      <c r="E87" s="2">
        <v>226</v>
      </c>
      <c r="F87" s="2">
        <f>weekly_deaths_location_cause_and_excess_deaths_care_homes[[#This Row],[All causes]]-weekly_deaths_location_cause_and_excess_deaths_care_homes[[#This Row],[All causes five year average]]</f>
        <v>10</v>
      </c>
      <c r="G87" s="2">
        <v>51</v>
      </c>
      <c r="H87" s="2">
        <v>63</v>
      </c>
      <c r="I87" s="2">
        <f>weekly_deaths_location_cause_and_excess_deaths_care_homes[[#This Row],[Cancer deaths]]-weekly_deaths_location_cause_and_excess_deaths_care_homes[[#This Row],[Cancer five year average]]</f>
        <v>-12</v>
      </c>
      <c r="J87" s="2">
        <v>76</v>
      </c>
      <c r="K87" s="2">
        <v>65</v>
      </c>
      <c r="L87" s="2">
        <f>weekly_deaths_location_cause_and_excess_deaths_care_homes[[#This Row],[Dementia / Alzhemier''s deaths]]-weekly_deaths_location_cause_and_excess_deaths_care_homes[[#This Row],[Dementia / Alzheimer''s five year average]]</f>
        <v>11</v>
      </c>
      <c r="M87" s="25">
        <v>35</v>
      </c>
      <c r="N87" s="25">
        <v>47</v>
      </c>
      <c r="O87" s="25">
        <f>weekly_deaths_location_cause_and_excess_deaths_care_homes[[#This Row],[Circulatory deaths]]-weekly_deaths_location_cause_and_excess_deaths_care_homes[[#This Row],[Circulatory five year average]]</f>
        <v>-12</v>
      </c>
      <c r="P87" s="25">
        <v>11</v>
      </c>
      <c r="Q87" s="25">
        <v>19</v>
      </c>
      <c r="R87" s="25">
        <f>weekly_deaths_location_cause_and_excess_deaths_care_homes[[#This Row],[Respiratory deaths]]-weekly_deaths_location_cause_and_excess_deaths_care_homes[[#This Row],[Respiratory five year average]]</f>
        <v>-8</v>
      </c>
      <c r="S87" s="25">
        <v>27</v>
      </c>
      <c r="T87" s="52">
        <v>36</v>
      </c>
      <c r="U87" s="52">
        <v>31</v>
      </c>
      <c r="V87" s="25">
        <f>weekly_deaths_location_cause_and_excess_deaths_care_homes[[#This Row],[Other causes]]-weekly_deaths_location_cause_and_excess_deaths_care_homes[[#This Row],[Other causes five year average]]</f>
        <v>5</v>
      </c>
    </row>
    <row r="88" spans="1:22" x14ac:dyDescent="0.35">
      <c r="A88" s="14" t="s">
        <v>85</v>
      </c>
      <c r="B88" s="15">
        <v>25</v>
      </c>
      <c r="C88" s="16">
        <v>43997</v>
      </c>
      <c r="D88" s="57">
        <v>236</v>
      </c>
      <c r="E88" s="2">
        <v>225</v>
      </c>
      <c r="F88" s="2">
        <f>weekly_deaths_location_cause_and_excess_deaths_care_homes[[#This Row],[All causes]]-weekly_deaths_location_cause_and_excess_deaths_care_homes[[#This Row],[All causes five year average]]</f>
        <v>11</v>
      </c>
      <c r="G88" s="2">
        <v>41</v>
      </c>
      <c r="H88" s="2">
        <v>63</v>
      </c>
      <c r="I88" s="2">
        <f>weekly_deaths_location_cause_and_excess_deaths_care_homes[[#This Row],[Cancer deaths]]-weekly_deaths_location_cause_and_excess_deaths_care_homes[[#This Row],[Cancer five year average]]</f>
        <v>-22</v>
      </c>
      <c r="J88" s="2">
        <v>59</v>
      </c>
      <c r="K88" s="2">
        <v>65</v>
      </c>
      <c r="L88" s="2">
        <f>weekly_deaths_location_cause_and_excess_deaths_care_homes[[#This Row],[Dementia / Alzhemier''s deaths]]-weekly_deaths_location_cause_and_excess_deaths_care_homes[[#This Row],[Dementia / Alzheimer''s five year average]]</f>
        <v>-6</v>
      </c>
      <c r="M88" s="25">
        <v>55</v>
      </c>
      <c r="N88" s="25">
        <v>46</v>
      </c>
      <c r="O88" s="25">
        <f>weekly_deaths_location_cause_and_excess_deaths_care_homes[[#This Row],[Circulatory deaths]]-weekly_deaths_location_cause_and_excess_deaths_care_homes[[#This Row],[Circulatory five year average]]</f>
        <v>9</v>
      </c>
      <c r="P88" s="25">
        <v>15</v>
      </c>
      <c r="Q88" s="25">
        <v>19</v>
      </c>
      <c r="R88" s="25">
        <f>weekly_deaths_location_cause_and_excess_deaths_care_homes[[#This Row],[Respiratory deaths]]-weekly_deaths_location_cause_and_excess_deaths_care_homes[[#This Row],[Respiratory five year average]]</f>
        <v>-4</v>
      </c>
      <c r="S88" s="25">
        <v>19</v>
      </c>
      <c r="T88" s="52">
        <v>47</v>
      </c>
      <c r="U88" s="52">
        <v>32</v>
      </c>
      <c r="V88" s="25">
        <f>weekly_deaths_location_cause_and_excess_deaths_care_homes[[#This Row],[Other causes]]-weekly_deaths_location_cause_and_excess_deaths_care_homes[[#This Row],[Other causes five year average]]</f>
        <v>15</v>
      </c>
    </row>
    <row r="89" spans="1:22" x14ac:dyDescent="0.35">
      <c r="A89" s="14" t="s">
        <v>85</v>
      </c>
      <c r="B89" s="15">
        <v>26</v>
      </c>
      <c r="C89" s="16">
        <v>44004</v>
      </c>
      <c r="D89" s="57">
        <v>227</v>
      </c>
      <c r="E89" s="2">
        <v>228</v>
      </c>
      <c r="F89" s="2">
        <f>weekly_deaths_location_cause_and_excess_deaths_care_homes[[#This Row],[All causes]]-weekly_deaths_location_cause_and_excess_deaths_care_homes[[#This Row],[All causes five year average]]</f>
        <v>-1</v>
      </c>
      <c r="G89" s="2">
        <v>49</v>
      </c>
      <c r="H89" s="2">
        <v>63</v>
      </c>
      <c r="I89" s="2">
        <f>weekly_deaths_location_cause_and_excess_deaths_care_homes[[#This Row],[Cancer deaths]]-weekly_deaths_location_cause_and_excess_deaths_care_homes[[#This Row],[Cancer five year average]]</f>
        <v>-14</v>
      </c>
      <c r="J89" s="2">
        <v>70</v>
      </c>
      <c r="K89" s="2">
        <v>66</v>
      </c>
      <c r="L89" s="2">
        <f>weekly_deaths_location_cause_and_excess_deaths_care_homes[[#This Row],[Dementia / Alzhemier''s deaths]]-weekly_deaths_location_cause_and_excess_deaths_care_homes[[#This Row],[Dementia / Alzheimer''s five year average]]</f>
        <v>4</v>
      </c>
      <c r="M89" s="25">
        <v>44</v>
      </c>
      <c r="N89" s="25">
        <v>47</v>
      </c>
      <c r="O89" s="25">
        <f>weekly_deaths_location_cause_and_excess_deaths_care_homes[[#This Row],[Circulatory deaths]]-weekly_deaths_location_cause_and_excess_deaths_care_homes[[#This Row],[Circulatory five year average]]</f>
        <v>-3</v>
      </c>
      <c r="P89" s="25">
        <v>12</v>
      </c>
      <c r="Q89" s="25">
        <v>16</v>
      </c>
      <c r="R89" s="25">
        <f>weekly_deaths_location_cause_and_excess_deaths_care_homes[[#This Row],[Respiratory deaths]]-weekly_deaths_location_cause_and_excess_deaths_care_homes[[#This Row],[Respiratory five year average]]</f>
        <v>-4</v>
      </c>
      <c r="S89" s="25">
        <v>15</v>
      </c>
      <c r="T89" s="52">
        <v>37</v>
      </c>
      <c r="U89" s="52">
        <v>36</v>
      </c>
      <c r="V89" s="25">
        <f>weekly_deaths_location_cause_and_excess_deaths_care_homes[[#This Row],[Other causes]]-weekly_deaths_location_cause_and_excess_deaths_care_homes[[#This Row],[Other causes five year average]]</f>
        <v>1</v>
      </c>
    </row>
    <row r="90" spans="1:22" x14ac:dyDescent="0.35">
      <c r="A90" s="14" t="s">
        <v>85</v>
      </c>
      <c r="B90" s="15">
        <v>27</v>
      </c>
      <c r="C90" s="16">
        <v>44011</v>
      </c>
      <c r="D90" s="57">
        <v>182</v>
      </c>
      <c r="E90" s="2">
        <v>229</v>
      </c>
      <c r="F90" s="2">
        <f>weekly_deaths_location_cause_and_excess_deaths_care_homes[[#This Row],[All causes]]-weekly_deaths_location_cause_and_excess_deaths_care_homes[[#This Row],[All causes five year average]]</f>
        <v>-47</v>
      </c>
      <c r="G90" s="2">
        <v>51</v>
      </c>
      <c r="H90" s="2">
        <v>65</v>
      </c>
      <c r="I90" s="2">
        <f>weekly_deaths_location_cause_and_excess_deaths_care_homes[[#This Row],[Cancer deaths]]-weekly_deaths_location_cause_and_excess_deaths_care_homes[[#This Row],[Cancer five year average]]</f>
        <v>-14</v>
      </c>
      <c r="J90" s="2">
        <v>53</v>
      </c>
      <c r="K90" s="2">
        <v>68</v>
      </c>
      <c r="L90" s="2">
        <f>weekly_deaths_location_cause_and_excess_deaths_care_homes[[#This Row],[Dementia / Alzhemier''s deaths]]-weekly_deaths_location_cause_and_excess_deaths_care_homes[[#This Row],[Dementia / Alzheimer''s five year average]]</f>
        <v>-15</v>
      </c>
      <c r="M90" s="25">
        <v>36</v>
      </c>
      <c r="N90" s="25">
        <v>43</v>
      </c>
      <c r="O90" s="25">
        <f>weekly_deaths_location_cause_and_excess_deaths_care_homes[[#This Row],[Circulatory deaths]]-weekly_deaths_location_cause_and_excess_deaths_care_homes[[#This Row],[Circulatory five year average]]</f>
        <v>-7</v>
      </c>
      <c r="P90" s="25">
        <v>8</v>
      </c>
      <c r="Q90" s="25">
        <v>19</v>
      </c>
      <c r="R90" s="25">
        <f>weekly_deaths_location_cause_and_excess_deaths_care_homes[[#This Row],[Respiratory deaths]]-weekly_deaths_location_cause_and_excess_deaths_care_homes[[#This Row],[Respiratory five year average]]</f>
        <v>-11</v>
      </c>
      <c r="S90" s="25">
        <v>3</v>
      </c>
      <c r="T90" s="52">
        <v>31</v>
      </c>
      <c r="U90" s="52">
        <v>33</v>
      </c>
      <c r="V90" s="25">
        <f>weekly_deaths_location_cause_and_excess_deaths_care_homes[[#This Row],[Other causes]]-weekly_deaths_location_cause_and_excess_deaths_care_homes[[#This Row],[Other causes five year average]]</f>
        <v>-2</v>
      </c>
    </row>
    <row r="91" spans="1:22" x14ac:dyDescent="0.35">
      <c r="A91" s="14" t="s">
        <v>85</v>
      </c>
      <c r="B91" s="15">
        <v>28</v>
      </c>
      <c r="C91" s="16">
        <v>44018</v>
      </c>
      <c r="D91" s="57">
        <v>200</v>
      </c>
      <c r="E91" s="2">
        <v>232</v>
      </c>
      <c r="F91" s="2">
        <f>weekly_deaths_location_cause_and_excess_deaths_care_homes[[#This Row],[All causes]]-weekly_deaths_location_cause_and_excess_deaths_care_homes[[#This Row],[All causes five year average]]</f>
        <v>-32</v>
      </c>
      <c r="G91" s="2">
        <v>48</v>
      </c>
      <c r="H91" s="2">
        <v>65</v>
      </c>
      <c r="I91" s="2">
        <f>weekly_deaths_location_cause_and_excess_deaths_care_homes[[#This Row],[Cancer deaths]]-weekly_deaths_location_cause_and_excess_deaths_care_homes[[#This Row],[Cancer five year average]]</f>
        <v>-17</v>
      </c>
      <c r="J91" s="2">
        <v>56</v>
      </c>
      <c r="K91" s="2">
        <v>68</v>
      </c>
      <c r="L91" s="2">
        <f>weekly_deaths_location_cause_and_excess_deaths_care_homes[[#This Row],[Dementia / Alzhemier''s deaths]]-weekly_deaths_location_cause_and_excess_deaths_care_homes[[#This Row],[Dementia / Alzheimer''s five year average]]</f>
        <v>-12</v>
      </c>
      <c r="M91" s="25">
        <v>46</v>
      </c>
      <c r="N91" s="25">
        <v>47</v>
      </c>
      <c r="O91" s="25">
        <f>weekly_deaths_location_cause_and_excess_deaths_care_homes[[#This Row],[Circulatory deaths]]-weekly_deaths_location_cause_and_excess_deaths_care_homes[[#This Row],[Circulatory five year average]]</f>
        <v>-1</v>
      </c>
      <c r="P91" s="25">
        <v>12</v>
      </c>
      <c r="Q91" s="25">
        <v>15</v>
      </c>
      <c r="R91" s="25">
        <f>weekly_deaths_location_cause_and_excess_deaths_care_homes[[#This Row],[Respiratory deaths]]-weekly_deaths_location_cause_and_excess_deaths_care_homes[[#This Row],[Respiratory five year average]]</f>
        <v>-3</v>
      </c>
      <c r="S91" s="25">
        <v>4</v>
      </c>
      <c r="T91" s="52">
        <v>34</v>
      </c>
      <c r="U91" s="52">
        <v>36</v>
      </c>
      <c r="V91" s="25">
        <f>weekly_deaths_location_cause_and_excess_deaths_care_homes[[#This Row],[Other causes]]-weekly_deaths_location_cause_and_excess_deaths_care_homes[[#This Row],[Other causes five year average]]</f>
        <v>-2</v>
      </c>
    </row>
    <row r="92" spans="1:22" x14ac:dyDescent="0.35">
      <c r="A92" s="14" t="s">
        <v>85</v>
      </c>
      <c r="B92" s="15">
        <v>29</v>
      </c>
      <c r="C92" s="16">
        <v>44025</v>
      </c>
      <c r="D92" s="57">
        <v>219</v>
      </c>
      <c r="E92" s="2">
        <v>234</v>
      </c>
      <c r="F92" s="2">
        <f>weekly_deaths_location_cause_and_excess_deaths_care_homes[[#This Row],[All causes]]-weekly_deaths_location_cause_and_excess_deaths_care_homes[[#This Row],[All causes five year average]]</f>
        <v>-15</v>
      </c>
      <c r="G92" s="2">
        <v>64</v>
      </c>
      <c r="H92" s="2">
        <v>76</v>
      </c>
      <c r="I92" s="2">
        <f>weekly_deaths_location_cause_and_excess_deaths_care_homes[[#This Row],[Cancer deaths]]-weekly_deaths_location_cause_and_excess_deaths_care_homes[[#This Row],[Cancer five year average]]</f>
        <v>-12</v>
      </c>
      <c r="J92" s="2">
        <v>72</v>
      </c>
      <c r="K92" s="2">
        <v>66</v>
      </c>
      <c r="L92" s="2">
        <f>weekly_deaths_location_cause_and_excess_deaths_care_homes[[#This Row],[Dementia / Alzhemier''s deaths]]-weekly_deaths_location_cause_and_excess_deaths_care_homes[[#This Row],[Dementia / Alzheimer''s five year average]]</f>
        <v>6</v>
      </c>
      <c r="M92" s="25">
        <v>35</v>
      </c>
      <c r="N92" s="25">
        <v>41</v>
      </c>
      <c r="O92" s="25">
        <f>weekly_deaths_location_cause_and_excess_deaths_care_homes[[#This Row],[Circulatory deaths]]-weekly_deaths_location_cause_and_excess_deaths_care_homes[[#This Row],[Circulatory five year average]]</f>
        <v>-6</v>
      </c>
      <c r="P92" s="25">
        <v>12</v>
      </c>
      <c r="Q92" s="25">
        <v>18</v>
      </c>
      <c r="R92" s="25">
        <f>weekly_deaths_location_cause_and_excess_deaths_care_homes[[#This Row],[Respiratory deaths]]-weekly_deaths_location_cause_and_excess_deaths_care_homes[[#This Row],[Respiratory five year average]]</f>
        <v>-6</v>
      </c>
      <c r="S92" s="25">
        <v>1</v>
      </c>
      <c r="T92" s="52">
        <v>35</v>
      </c>
      <c r="U92" s="52">
        <v>33</v>
      </c>
      <c r="V92" s="25">
        <f>weekly_deaths_location_cause_and_excess_deaths_care_homes[[#This Row],[Other causes]]-weekly_deaths_location_cause_and_excess_deaths_care_homes[[#This Row],[Other causes five year average]]</f>
        <v>2</v>
      </c>
    </row>
    <row r="93" spans="1:22" x14ac:dyDescent="0.35">
      <c r="A93" s="14" t="s">
        <v>85</v>
      </c>
      <c r="B93" s="15">
        <v>30</v>
      </c>
      <c r="C93" s="16">
        <v>44032</v>
      </c>
      <c r="D93" s="57">
        <v>210</v>
      </c>
      <c r="E93" s="2">
        <v>223</v>
      </c>
      <c r="F93" s="2">
        <f>weekly_deaths_location_cause_and_excess_deaths_care_homes[[#This Row],[All causes]]-weekly_deaths_location_cause_and_excess_deaths_care_homes[[#This Row],[All causes five year average]]</f>
        <v>-13</v>
      </c>
      <c r="G93" s="2">
        <v>60</v>
      </c>
      <c r="H93" s="2">
        <v>70</v>
      </c>
      <c r="I93" s="2">
        <f>weekly_deaths_location_cause_and_excess_deaths_care_homes[[#This Row],[Cancer deaths]]-weekly_deaths_location_cause_and_excess_deaths_care_homes[[#This Row],[Cancer five year average]]</f>
        <v>-10</v>
      </c>
      <c r="J93" s="2">
        <v>64</v>
      </c>
      <c r="K93" s="2">
        <v>63</v>
      </c>
      <c r="L93" s="2">
        <f>weekly_deaths_location_cause_and_excess_deaths_care_homes[[#This Row],[Dementia / Alzhemier''s deaths]]-weekly_deaths_location_cause_and_excess_deaths_care_homes[[#This Row],[Dementia / Alzheimer''s five year average]]</f>
        <v>1</v>
      </c>
      <c r="M93" s="25">
        <v>46</v>
      </c>
      <c r="N93" s="25">
        <v>46</v>
      </c>
      <c r="O93" s="25">
        <f>weekly_deaths_location_cause_and_excess_deaths_care_homes[[#This Row],[Circulatory deaths]]-weekly_deaths_location_cause_and_excess_deaths_care_homes[[#This Row],[Circulatory five year average]]</f>
        <v>0</v>
      </c>
      <c r="P93" s="25">
        <v>10</v>
      </c>
      <c r="Q93" s="25">
        <v>15</v>
      </c>
      <c r="R93" s="25">
        <f>weekly_deaths_location_cause_and_excess_deaths_care_homes[[#This Row],[Respiratory deaths]]-weekly_deaths_location_cause_and_excess_deaths_care_homes[[#This Row],[Respiratory five year average]]</f>
        <v>-5</v>
      </c>
      <c r="S93" s="25">
        <v>1</v>
      </c>
      <c r="T93" s="52">
        <v>29</v>
      </c>
      <c r="U93" s="52">
        <v>28</v>
      </c>
      <c r="V93" s="25">
        <f>weekly_deaths_location_cause_and_excess_deaths_care_homes[[#This Row],[Other causes]]-weekly_deaths_location_cause_and_excess_deaths_care_homes[[#This Row],[Other causes five year average]]</f>
        <v>1</v>
      </c>
    </row>
    <row r="94" spans="1:22" x14ac:dyDescent="0.35">
      <c r="A94" s="14" t="s">
        <v>85</v>
      </c>
      <c r="B94" s="15">
        <v>31</v>
      </c>
      <c r="C94" s="16">
        <v>44039</v>
      </c>
      <c r="D94" s="57">
        <v>214</v>
      </c>
      <c r="E94" s="2">
        <v>216</v>
      </c>
      <c r="F94" s="2">
        <f>weekly_deaths_location_cause_and_excess_deaths_care_homes[[#This Row],[All causes]]-weekly_deaths_location_cause_and_excess_deaths_care_homes[[#This Row],[All causes five year average]]</f>
        <v>-2</v>
      </c>
      <c r="G94" s="2">
        <v>56</v>
      </c>
      <c r="H94" s="2">
        <v>67</v>
      </c>
      <c r="I94" s="2">
        <f>weekly_deaths_location_cause_and_excess_deaths_care_homes[[#This Row],[Cancer deaths]]-weekly_deaths_location_cause_and_excess_deaths_care_homes[[#This Row],[Cancer five year average]]</f>
        <v>-11</v>
      </c>
      <c r="J94" s="2">
        <v>49</v>
      </c>
      <c r="K94" s="2">
        <v>63</v>
      </c>
      <c r="L94" s="2">
        <f>weekly_deaths_location_cause_and_excess_deaths_care_homes[[#This Row],[Dementia / Alzhemier''s deaths]]-weekly_deaths_location_cause_and_excess_deaths_care_homes[[#This Row],[Dementia / Alzheimer''s five year average]]</f>
        <v>-14</v>
      </c>
      <c r="M94" s="25">
        <v>52</v>
      </c>
      <c r="N94" s="25">
        <v>40</v>
      </c>
      <c r="O94" s="25">
        <f>weekly_deaths_location_cause_and_excess_deaths_care_homes[[#This Row],[Circulatory deaths]]-weekly_deaths_location_cause_and_excess_deaths_care_homes[[#This Row],[Circulatory five year average]]</f>
        <v>12</v>
      </c>
      <c r="P94" s="25">
        <v>16</v>
      </c>
      <c r="Q94" s="25">
        <v>14</v>
      </c>
      <c r="R94" s="25">
        <f>weekly_deaths_location_cause_and_excess_deaths_care_homes[[#This Row],[Respiratory deaths]]-weekly_deaths_location_cause_and_excess_deaths_care_homes[[#This Row],[Respiratory five year average]]</f>
        <v>2</v>
      </c>
      <c r="S94" s="25">
        <v>1</v>
      </c>
      <c r="T94" s="52">
        <v>40</v>
      </c>
      <c r="U94" s="52">
        <v>32</v>
      </c>
      <c r="V94" s="25">
        <f>weekly_deaths_location_cause_and_excess_deaths_care_homes[[#This Row],[Other causes]]-weekly_deaths_location_cause_and_excess_deaths_care_homes[[#This Row],[Other causes five year average]]</f>
        <v>8</v>
      </c>
    </row>
    <row r="95" spans="1:22" x14ac:dyDescent="0.35">
      <c r="A95" s="14" t="s">
        <v>85</v>
      </c>
      <c r="B95" s="15">
        <v>32</v>
      </c>
      <c r="C95" s="16">
        <v>44046</v>
      </c>
      <c r="D95" s="57">
        <v>210</v>
      </c>
      <c r="E95" s="2">
        <v>224</v>
      </c>
      <c r="F95" s="2">
        <f>weekly_deaths_location_cause_and_excess_deaths_care_homes[[#This Row],[All causes]]-weekly_deaths_location_cause_and_excess_deaths_care_homes[[#This Row],[All causes five year average]]</f>
        <v>-14</v>
      </c>
      <c r="G95" s="2">
        <v>63</v>
      </c>
      <c r="H95" s="2">
        <v>67</v>
      </c>
      <c r="I95" s="2">
        <f>weekly_deaths_location_cause_and_excess_deaths_care_homes[[#This Row],[Cancer deaths]]-weekly_deaths_location_cause_and_excess_deaths_care_homes[[#This Row],[Cancer five year average]]</f>
        <v>-4</v>
      </c>
      <c r="J95" s="2">
        <v>62</v>
      </c>
      <c r="K95" s="2">
        <v>65</v>
      </c>
      <c r="L95" s="2">
        <f>weekly_deaths_location_cause_and_excess_deaths_care_homes[[#This Row],[Dementia / Alzhemier''s deaths]]-weekly_deaths_location_cause_and_excess_deaths_care_homes[[#This Row],[Dementia / Alzheimer''s five year average]]</f>
        <v>-3</v>
      </c>
      <c r="M95" s="25">
        <v>41</v>
      </c>
      <c r="N95" s="25">
        <v>43</v>
      </c>
      <c r="O95" s="25">
        <f>weekly_deaths_location_cause_and_excess_deaths_care_homes[[#This Row],[Circulatory deaths]]-weekly_deaths_location_cause_and_excess_deaths_care_homes[[#This Row],[Circulatory five year average]]</f>
        <v>-2</v>
      </c>
      <c r="P95" s="25">
        <v>9</v>
      </c>
      <c r="Q95" s="25">
        <v>15</v>
      </c>
      <c r="R95" s="25">
        <f>weekly_deaths_location_cause_and_excess_deaths_care_homes[[#This Row],[Respiratory deaths]]-weekly_deaths_location_cause_and_excess_deaths_care_homes[[#This Row],[Respiratory five year average]]</f>
        <v>-6</v>
      </c>
      <c r="S95" s="25">
        <v>0</v>
      </c>
      <c r="T95" s="52">
        <v>35</v>
      </c>
      <c r="U95" s="52">
        <v>34</v>
      </c>
      <c r="V95" s="25">
        <f>weekly_deaths_location_cause_and_excess_deaths_care_homes[[#This Row],[Other causes]]-weekly_deaths_location_cause_and_excess_deaths_care_homes[[#This Row],[Other causes five year average]]</f>
        <v>1</v>
      </c>
    </row>
    <row r="96" spans="1:22" x14ac:dyDescent="0.35">
      <c r="A96" s="14" t="s">
        <v>85</v>
      </c>
      <c r="B96" s="15">
        <v>33</v>
      </c>
      <c r="C96" s="16">
        <v>44053</v>
      </c>
      <c r="D96" s="57">
        <v>203</v>
      </c>
      <c r="E96" s="2">
        <v>224</v>
      </c>
      <c r="F96" s="2">
        <f>weekly_deaths_location_cause_and_excess_deaths_care_homes[[#This Row],[All causes]]-weekly_deaths_location_cause_and_excess_deaths_care_homes[[#This Row],[All causes five year average]]</f>
        <v>-21</v>
      </c>
      <c r="G96" s="2">
        <v>69</v>
      </c>
      <c r="H96" s="2">
        <v>65</v>
      </c>
      <c r="I96" s="2">
        <f>weekly_deaths_location_cause_and_excess_deaths_care_homes[[#This Row],[Cancer deaths]]-weekly_deaths_location_cause_and_excess_deaths_care_homes[[#This Row],[Cancer five year average]]</f>
        <v>4</v>
      </c>
      <c r="J96" s="2">
        <v>56</v>
      </c>
      <c r="K96" s="2">
        <v>68</v>
      </c>
      <c r="L96" s="2">
        <f>weekly_deaths_location_cause_and_excess_deaths_care_homes[[#This Row],[Dementia / Alzhemier''s deaths]]-weekly_deaths_location_cause_and_excess_deaths_care_homes[[#This Row],[Dementia / Alzheimer''s five year average]]</f>
        <v>-12</v>
      </c>
      <c r="M96" s="25">
        <v>38</v>
      </c>
      <c r="N96" s="25">
        <v>44</v>
      </c>
      <c r="O96" s="25">
        <f>weekly_deaths_location_cause_and_excess_deaths_care_homes[[#This Row],[Circulatory deaths]]-weekly_deaths_location_cause_and_excess_deaths_care_homes[[#This Row],[Circulatory five year average]]</f>
        <v>-6</v>
      </c>
      <c r="P96" s="25">
        <v>11</v>
      </c>
      <c r="Q96" s="25">
        <v>13</v>
      </c>
      <c r="R96" s="25">
        <f>weekly_deaths_location_cause_and_excess_deaths_care_homes[[#This Row],[Respiratory deaths]]-weekly_deaths_location_cause_and_excess_deaths_care_homes[[#This Row],[Respiratory five year average]]</f>
        <v>-2</v>
      </c>
      <c r="S96" s="25">
        <v>0</v>
      </c>
      <c r="T96" s="52">
        <v>29</v>
      </c>
      <c r="U96" s="52">
        <v>32</v>
      </c>
      <c r="V96" s="25">
        <f>weekly_deaths_location_cause_and_excess_deaths_care_homes[[#This Row],[Other causes]]-weekly_deaths_location_cause_and_excess_deaths_care_homes[[#This Row],[Other causes five year average]]</f>
        <v>-3</v>
      </c>
    </row>
    <row r="97" spans="1:22" x14ac:dyDescent="0.35">
      <c r="A97" s="14" t="s">
        <v>85</v>
      </c>
      <c r="B97" s="15">
        <v>34</v>
      </c>
      <c r="C97" s="16">
        <v>44060</v>
      </c>
      <c r="D97" s="57">
        <v>234</v>
      </c>
      <c r="E97" s="2">
        <v>227</v>
      </c>
      <c r="F97" s="2">
        <f>weekly_deaths_location_cause_and_excess_deaths_care_homes[[#This Row],[All causes]]-weekly_deaths_location_cause_and_excess_deaths_care_homes[[#This Row],[All causes five year average]]</f>
        <v>7</v>
      </c>
      <c r="G97" s="2">
        <v>60</v>
      </c>
      <c r="H97" s="2">
        <v>65</v>
      </c>
      <c r="I97" s="2">
        <f>weekly_deaths_location_cause_and_excess_deaths_care_homes[[#This Row],[Cancer deaths]]-weekly_deaths_location_cause_and_excess_deaths_care_homes[[#This Row],[Cancer five year average]]</f>
        <v>-5</v>
      </c>
      <c r="J97" s="2">
        <v>69</v>
      </c>
      <c r="K97" s="2">
        <v>73</v>
      </c>
      <c r="L97" s="2">
        <f>weekly_deaths_location_cause_and_excess_deaths_care_homes[[#This Row],[Dementia / Alzhemier''s deaths]]-weekly_deaths_location_cause_and_excess_deaths_care_homes[[#This Row],[Dementia / Alzheimer''s five year average]]</f>
        <v>-4</v>
      </c>
      <c r="M97" s="25">
        <v>42</v>
      </c>
      <c r="N97" s="25">
        <v>43</v>
      </c>
      <c r="O97" s="25">
        <f>weekly_deaths_location_cause_and_excess_deaths_care_homes[[#This Row],[Circulatory deaths]]-weekly_deaths_location_cause_and_excess_deaths_care_homes[[#This Row],[Circulatory five year average]]</f>
        <v>-1</v>
      </c>
      <c r="P97" s="25">
        <v>18</v>
      </c>
      <c r="Q97" s="25">
        <v>16</v>
      </c>
      <c r="R97" s="25">
        <f>weekly_deaths_location_cause_and_excess_deaths_care_homes[[#This Row],[Respiratory deaths]]-weekly_deaths_location_cause_and_excess_deaths_care_homes[[#This Row],[Respiratory five year average]]</f>
        <v>2</v>
      </c>
      <c r="S97" s="25">
        <v>2</v>
      </c>
      <c r="T97" s="52">
        <v>43</v>
      </c>
      <c r="U97" s="52">
        <v>31</v>
      </c>
      <c r="V97" s="25">
        <f>weekly_deaths_location_cause_and_excess_deaths_care_homes[[#This Row],[Other causes]]-weekly_deaths_location_cause_and_excess_deaths_care_homes[[#This Row],[Other causes five year average]]</f>
        <v>12</v>
      </c>
    </row>
    <row r="98" spans="1:22" x14ac:dyDescent="0.35">
      <c r="A98" s="14" t="s">
        <v>85</v>
      </c>
      <c r="B98" s="15">
        <v>35</v>
      </c>
      <c r="C98" s="16">
        <v>44067</v>
      </c>
      <c r="D98" s="57">
        <v>206</v>
      </c>
      <c r="E98" s="2">
        <v>224</v>
      </c>
      <c r="F98" s="2">
        <f>weekly_deaths_location_cause_and_excess_deaths_care_homes[[#This Row],[All causes]]-weekly_deaths_location_cause_and_excess_deaths_care_homes[[#This Row],[All causes five year average]]</f>
        <v>-18</v>
      </c>
      <c r="G98" s="2">
        <v>57</v>
      </c>
      <c r="H98" s="2">
        <v>70</v>
      </c>
      <c r="I98" s="2">
        <f>weekly_deaths_location_cause_and_excess_deaths_care_homes[[#This Row],[Cancer deaths]]-weekly_deaths_location_cause_and_excess_deaths_care_homes[[#This Row],[Cancer five year average]]</f>
        <v>-13</v>
      </c>
      <c r="J98" s="2">
        <v>60</v>
      </c>
      <c r="K98" s="2">
        <v>63</v>
      </c>
      <c r="L98" s="2">
        <f>weekly_deaths_location_cause_and_excess_deaths_care_homes[[#This Row],[Dementia / Alzhemier''s deaths]]-weekly_deaths_location_cause_and_excess_deaths_care_homes[[#This Row],[Dementia / Alzheimer''s five year average]]</f>
        <v>-3</v>
      </c>
      <c r="M98" s="25">
        <v>40</v>
      </c>
      <c r="N98" s="25">
        <v>44</v>
      </c>
      <c r="O98" s="25">
        <f>weekly_deaths_location_cause_and_excess_deaths_care_homes[[#This Row],[Circulatory deaths]]-weekly_deaths_location_cause_and_excess_deaths_care_homes[[#This Row],[Circulatory five year average]]</f>
        <v>-4</v>
      </c>
      <c r="P98" s="25">
        <v>12</v>
      </c>
      <c r="Q98" s="25">
        <v>16</v>
      </c>
      <c r="R98" s="25">
        <f>weekly_deaths_location_cause_and_excess_deaths_care_homes[[#This Row],[Respiratory deaths]]-weekly_deaths_location_cause_and_excess_deaths_care_homes[[#This Row],[Respiratory five year average]]</f>
        <v>-4</v>
      </c>
      <c r="S98" s="25">
        <v>2</v>
      </c>
      <c r="T98" s="52">
        <v>35</v>
      </c>
      <c r="U98" s="52">
        <v>30</v>
      </c>
      <c r="V98" s="25">
        <f>weekly_deaths_location_cause_and_excess_deaths_care_homes[[#This Row],[Other causes]]-weekly_deaths_location_cause_and_excess_deaths_care_homes[[#This Row],[Other causes five year average]]</f>
        <v>5</v>
      </c>
    </row>
    <row r="99" spans="1:22" x14ac:dyDescent="0.35">
      <c r="A99" s="14" t="s">
        <v>85</v>
      </c>
      <c r="B99" s="15">
        <v>36</v>
      </c>
      <c r="C99" s="16">
        <v>44074</v>
      </c>
      <c r="D99" s="57">
        <v>216</v>
      </c>
      <c r="E99" s="2">
        <v>237</v>
      </c>
      <c r="F99" s="2">
        <f>weekly_deaths_location_cause_and_excess_deaths_care_homes[[#This Row],[All causes]]-weekly_deaths_location_cause_and_excess_deaths_care_homes[[#This Row],[All causes five year average]]</f>
        <v>-21</v>
      </c>
      <c r="G99" s="2">
        <v>62</v>
      </c>
      <c r="H99" s="2">
        <v>67</v>
      </c>
      <c r="I99" s="2">
        <f>weekly_deaths_location_cause_and_excess_deaths_care_homes[[#This Row],[Cancer deaths]]-weekly_deaths_location_cause_and_excess_deaths_care_homes[[#This Row],[Cancer five year average]]</f>
        <v>-5</v>
      </c>
      <c r="J99" s="2">
        <v>62</v>
      </c>
      <c r="K99" s="2">
        <v>74</v>
      </c>
      <c r="L99" s="2">
        <f>weekly_deaths_location_cause_and_excess_deaths_care_homes[[#This Row],[Dementia / Alzhemier''s deaths]]-weekly_deaths_location_cause_and_excess_deaths_care_homes[[#This Row],[Dementia / Alzheimer''s five year average]]</f>
        <v>-12</v>
      </c>
      <c r="M99" s="25">
        <v>46</v>
      </c>
      <c r="N99" s="25">
        <v>43</v>
      </c>
      <c r="O99" s="25">
        <f>weekly_deaths_location_cause_and_excess_deaths_care_homes[[#This Row],[Circulatory deaths]]-weekly_deaths_location_cause_and_excess_deaths_care_homes[[#This Row],[Circulatory five year average]]</f>
        <v>3</v>
      </c>
      <c r="P99" s="25">
        <v>11</v>
      </c>
      <c r="Q99" s="25">
        <v>19</v>
      </c>
      <c r="R99" s="25">
        <f>weekly_deaths_location_cause_and_excess_deaths_care_homes[[#This Row],[Respiratory deaths]]-weekly_deaths_location_cause_and_excess_deaths_care_homes[[#This Row],[Respiratory five year average]]</f>
        <v>-8</v>
      </c>
      <c r="S99" s="25">
        <v>0</v>
      </c>
      <c r="T99" s="52">
        <v>35</v>
      </c>
      <c r="U99" s="52">
        <v>33</v>
      </c>
      <c r="V99" s="25">
        <f>weekly_deaths_location_cause_and_excess_deaths_care_homes[[#This Row],[Other causes]]-weekly_deaths_location_cause_and_excess_deaths_care_homes[[#This Row],[Other causes five year average]]</f>
        <v>2</v>
      </c>
    </row>
    <row r="100" spans="1:22" x14ac:dyDescent="0.35">
      <c r="A100" s="14" t="s">
        <v>85</v>
      </c>
      <c r="B100" s="15">
        <v>37</v>
      </c>
      <c r="C100" s="16">
        <v>44081</v>
      </c>
      <c r="D100" s="57">
        <v>218</v>
      </c>
      <c r="E100" s="2">
        <v>233</v>
      </c>
      <c r="F100" s="2">
        <f>weekly_deaths_location_cause_and_excess_deaths_care_homes[[#This Row],[All causes]]-weekly_deaths_location_cause_and_excess_deaths_care_homes[[#This Row],[All causes five year average]]</f>
        <v>-15</v>
      </c>
      <c r="G100" s="2">
        <v>56</v>
      </c>
      <c r="H100" s="2">
        <v>72</v>
      </c>
      <c r="I100" s="2">
        <f>weekly_deaths_location_cause_and_excess_deaths_care_homes[[#This Row],[Cancer deaths]]-weekly_deaths_location_cause_and_excess_deaths_care_homes[[#This Row],[Cancer five year average]]</f>
        <v>-16</v>
      </c>
      <c r="J100" s="2">
        <v>59</v>
      </c>
      <c r="K100" s="2">
        <v>69</v>
      </c>
      <c r="L100" s="2">
        <f>weekly_deaths_location_cause_and_excess_deaths_care_homes[[#This Row],[Dementia / Alzhemier''s deaths]]-weekly_deaths_location_cause_and_excess_deaths_care_homes[[#This Row],[Dementia / Alzheimer''s five year average]]</f>
        <v>-10</v>
      </c>
      <c r="M100" s="25">
        <v>39</v>
      </c>
      <c r="N100" s="25">
        <v>41</v>
      </c>
      <c r="O100" s="25">
        <f>weekly_deaths_location_cause_and_excess_deaths_care_homes[[#This Row],[Circulatory deaths]]-weekly_deaths_location_cause_and_excess_deaths_care_homes[[#This Row],[Circulatory five year average]]</f>
        <v>-2</v>
      </c>
      <c r="P100" s="25">
        <v>15</v>
      </c>
      <c r="Q100" s="25">
        <v>18</v>
      </c>
      <c r="R100" s="25">
        <f>weekly_deaths_location_cause_and_excess_deaths_care_homes[[#This Row],[Respiratory deaths]]-weekly_deaths_location_cause_and_excess_deaths_care_homes[[#This Row],[Respiratory five year average]]</f>
        <v>-3</v>
      </c>
      <c r="S100" s="25">
        <v>0</v>
      </c>
      <c r="T100" s="52">
        <v>49</v>
      </c>
      <c r="U100" s="52">
        <v>33</v>
      </c>
      <c r="V100" s="25">
        <f>weekly_deaths_location_cause_and_excess_deaths_care_homes[[#This Row],[Other causes]]-weekly_deaths_location_cause_and_excess_deaths_care_homes[[#This Row],[Other causes five year average]]</f>
        <v>16</v>
      </c>
    </row>
    <row r="101" spans="1:22" x14ac:dyDescent="0.35">
      <c r="A101" s="14" t="s">
        <v>85</v>
      </c>
      <c r="B101" s="15">
        <v>38</v>
      </c>
      <c r="C101" s="16">
        <v>44088</v>
      </c>
      <c r="D101" s="57">
        <v>207</v>
      </c>
      <c r="E101" s="2">
        <v>236</v>
      </c>
      <c r="F101" s="2">
        <f>weekly_deaths_location_cause_and_excess_deaths_care_homes[[#This Row],[All causes]]-weekly_deaths_location_cause_and_excess_deaths_care_homes[[#This Row],[All causes five year average]]</f>
        <v>-29</v>
      </c>
      <c r="G101" s="2">
        <v>52</v>
      </c>
      <c r="H101" s="2">
        <v>73</v>
      </c>
      <c r="I101" s="2">
        <f>weekly_deaths_location_cause_and_excess_deaths_care_homes[[#This Row],[Cancer deaths]]-weekly_deaths_location_cause_and_excess_deaths_care_homes[[#This Row],[Cancer five year average]]</f>
        <v>-21</v>
      </c>
      <c r="J101" s="2">
        <v>63</v>
      </c>
      <c r="K101" s="2">
        <v>65</v>
      </c>
      <c r="L101" s="2">
        <f>weekly_deaths_location_cause_and_excess_deaths_care_homes[[#This Row],[Dementia / Alzhemier''s deaths]]-weekly_deaths_location_cause_and_excess_deaths_care_homes[[#This Row],[Dementia / Alzheimer''s five year average]]</f>
        <v>-2</v>
      </c>
      <c r="M101" s="25">
        <v>44</v>
      </c>
      <c r="N101" s="25">
        <v>45</v>
      </c>
      <c r="O101" s="25">
        <f>weekly_deaths_location_cause_and_excess_deaths_care_homes[[#This Row],[Circulatory deaths]]-weekly_deaths_location_cause_and_excess_deaths_care_homes[[#This Row],[Circulatory five year average]]</f>
        <v>-1</v>
      </c>
      <c r="P101" s="25">
        <v>14</v>
      </c>
      <c r="Q101" s="25">
        <v>17</v>
      </c>
      <c r="R101" s="25">
        <f>weekly_deaths_location_cause_and_excess_deaths_care_homes[[#This Row],[Respiratory deaths]]-weekly_deaths_location_cause_and_excess_deaths_care_homes[[#This Row],[Respiratory five year average]]</f>
        <v>-3</v>
      </c>
      <c r="S101" s="25">
        <v>2</v>
      </c>
      <c r="T101" s="52">
        <v>32</v>
      </c>
      <c r="U101" s="52">
        <v>36</v>
      </c>
      <c r="V101" s="25">
        <f>weekly_deaths_location_cause_and_excess_deaths_care_homes[[#This Row],[Other causes]]-weekly_deaths_location_cause_and_excess_deaths_care_homes[[#This Row],[Other causes five year average]]</f>
        <v>-4</v>
      </c>
    </row>
    <row r="102" spans="1:22" x14ac:dyDescent="0.35">
      <c r="A102" s="14" t="s">
        <v>85</v>
      </c>
      <c r="B102" s="15">
        <v>39</v>
      </c>
      <c r="C102" s="16">
        <v>44095</v>
      </c>
      <c r="D102" s="57">
        <v>201</v>
      </c>
      <c r="E102" s="2">
        <v>250</v>
      </c>
      <c r="F102" s="2">
        <f>weekly_deaths_location_cause_and_excess_deaths_care_homes[[#This Row],[All causes]]-weekly_deaths_location_cause_and_excess_deaths_care_homes[[#This Row],[All causes five year average]]</f>
        <v>-49</v>
      </c>
      <c r="G102" s="2">
        <v>46</v>
      </c>
      <c r="H102" s="2">
        <v>69</v>
      </c>
      <c r="I102" s="2">
        <f>weekly_deaths_location_cause_and_excess_deaths_care_homes[[#This Row],[Cancer deaths]]-weekly_deaths_location_cause_and_excess_deaths_care_homes[[#This Row],[Cancer five year average]]</f>
        <v>-23</v>
      </c>
      <c r="J102" s="2">
        <v>56</v>
      </c>
      <c r="K102" s="2">
        <v>80</v>
      </c>
      <c r="L102" s="2">
        <f>weekly_deaths_location_cause_and_excess_deaths_care_homes[[#This Row],[Dementia / Alzhemier''s deaths]]-weekly_deaths_location_cause_and_excess_deaths_care_homes[[#This Row],[Dementia / Alzheimer''s five year average]]</f>
        <v>-24</v>
      </c>
      <c r="M102" s="25">
        <v>36</v>
      </c>
      <c r="N102" s="25">
        <v>47</v>
      </c>
      <c r="O102" s="25">
        <f>weekly_deaths_location_cause_and_excess_deaths_care_homes[[#This Row],[Circulatory deaths]]-weekly_deaths_location_cause_and_excess_deaths_care_homes[[#This Row],[Circulatory five year average]]</f>
        <v>-11</v>
      </c>
      <c r="P102" s="25">
        <v>16</v>
      </c>
      <c r="Q102" s="25">
        <v>19</v>
      </c>
      <c r="R102" s="25">
        <f>weekly_deaths_location_cause_and_excess_deaths_care_homes[[#This Row],[Respiratory deaths]]-weekly_deaths_location_cause_and_excess_deaths_care_homes[[#This Row],[Respiratory five year average]]</f>
        <v>-3</v>
      </c>
      <c r="S102" s="25">
        <v>4</v>
      </c>
      <c r="T102" s="52">
        <v>43</v>
      </c>
      <c r="U102" s="52">
        <v>35</v>
      </c>
      <c r="V102" s="25">
        <f>weekly_deaths_location_cause_and_excess_deaths_care_homes[[#This Row],[Other causes]]-weekly_deaths_location_cause_and_excess_deaths_care_homes[[#This Row],[Other causes five year average]]</f>
        <v>8</v>
      </c>
    </row>
    <row r="103" spans="1:22" x14ac:dyDescent="0.35">
      <c r="A103" s="14" t="s">
        <v>85</v>
      </c>
      <c r="B103" s="15">
        <v>40</v>
      </c>
      <c r="C103" s="16">
        <v>44102</v>
      </c>
      <c r="D103" s="57">
        <v>263</v>
      </c>
      <c r="E103" s="2">
        <v>231</v>
      </c>
      <c r="F103" s="2">
        <f>weekly_deaths_location_cause_and_excess_deaths_care_homes[[#This Row],[All causes]]-weekly_deaths_location_cause_and_excess_deaths_care_homes[[#This Row],[All causes five year average]]</f>
        <v>32</v>
      </c>
      <c r="G103" s="2">
        <v>71</v>
      </c>
      <c r="H103" s="2">
        <v>66</v>
      </c>
      <c r="I103" s="2">
        <f>weekly_deaths_location_cause_and_excess_deaths_care_homes[[#This Row],[Cancer deaths]]-weekly_deaths_location_cause_and_excess_deaths_care_homes[[#This Row],[Cancer five year average]]</f>
        <v>5</v>
      </c>
      <c r="J103" s="2">
        <v>81</v>
      </c>
      <c r="K103" s="2">
        <v>71</v>
      </c>
      <c r="L103" s="2">
        <f>weekly_deaths_location_cause_and_excess_deaths_care_homes[[#This Row],[Dementia / Alzhemier''s deaths]]-weekly_deaths_location_cause_and_excess_deaths_care_homes[[#This Row],[Dementia / Alzheimer''s five year average]]</f>
        <v>10</v>
      </c>
      <c r="M103" s="25">
        <v>51</v>
      </c>
      <c r="N103" s="25">
        <v>41</v>
      </c>
      <c r="O103" s="25">
        <f>weekly_deaths_location_cause_and_excess_deaths_care_homes[[#This Row],[Circulatory deaths]]-weekly_deaths_location_cause_and_excess_deaths_care_homes[[#This Row],[Circulatory five year average]]</f>
        <v>10</v>
      </c>
      <c r="P103" s="25">
        <v>14</v>
      </c>
      <c r="Q103" s="25">
        <v>19</v>
      </c>
      <c r="R103" s="25">
        <f>weekly_deaths_location_cause_and_excess_deaths_care_homes[[#This Row],[Respiratory deaths]]-weekly_deaths_location_cause_and_excess_deaths_care_homes[[#This Row],[Respiratory five year average]]</f>
        <v>-5</v>
      </c>
      <c r="S103" s="25">
        <v>6</v>
      </c>
      <c r="T103" s="52">
        <v>40</v>
      </c>
      <c r="U103" s="52">
        <v>34</v>
      </c>
      <c r="V103" s="25">
        <f>weekly_deaths_location_cause_and_excess_deaths_care_homes[[#This Row],[Other causes]]-weekly_deaths_location_cause_and_excess_deaths_care_homes[[#This Row],[Other causes five year average]]</f>
        <v>6</v>
      </c>
    </row>
    <row r="104" spans="1:22" x14ac:dyDescent="0.35">
      <c r="A104" s="14" t="s">
        <v>85</v>
      </c>
      <c r="B104" s="15">
        <v>41</v>
      </c>
      <c r="C104" s="16">
        <v>44109</v>
      </c>
      <c r="D104" s="57">
        <v>221</v>
      </c>
      <c r="E104" s="2">
        <v>245</v>
      </c>
      <c r="F104" s="2">
        <f>weekly_deaths_location_cause_and_excess_deaths_care_homes[[#This Row],[All causes]]-weekly_deaths_location_cause_and_excess_deaths_care_homes[[#This Row],[All causes five year average]]</f>
        <v>-24</v>
      </c>
      <c r="G104" s="2">
        <v>58</v>
      </c>
      <c r="H104" s="2">
        <v>69</v>
      </c>
      <c r="I104" s="2">
        <f>weekly_deaths_location_cause_and_excess_deaths_care_homes[[#This Row],[Cancer deaths]]-weekly_deaths_location_cause_and_excess_deaths_care_homes[[#This Row],[Cancer five year average]]</f>
        <v>-11</v>
      </c>
      <c r="J104" s="2">
        <v>75</v>
      </c>
      <c r="K104" s="2">
        <v>74</v>
      </c>
      <c r="L104" s="2">
        <f>weekly_deaths_location_cause_and_excess_deaths_care_homes[[#This Row],[Dementia / Alzhemier''s deaths]]-weekly_deaths_location_cause_and_excess_deaths_care_homes[[#This Row],[Dementia / Alzheimer''s five year average]]</f>
        <v>1</v>
      </c>
      <c r="M104" s="25">
        <v>39</v>
      </c>
      <c r="N104" s="25">
        <v>49</v>
      </c>
      <c r="O104" s="25">
        <f>weekly_deaths_location_cause_and_excess_deaths_care_homes[[#This Row],[Circulatory deaths]]-weekly_deaths_location_cause_and_excess_deaths_care_homes[[#This Row],[Circulatory five year average]]</f>
        <v>-10</v>
      </c>
      <c r="P104" s="25">
        <v>14</v>
      </c>
      <c r="Q104" s="25">
        <v>21</v>
      </c>
      <c r="R104" s="25">
        <f>weekly_deaths_location_cause_and_excess_deaths_care_homes[[#This Row],[Respiratory deaths]]-weekly_deaths_location_cause_and_excess_deaths_care_homes[[#This Row],[Respiratory five year average]]</f>
        <v>-7</v>
      </c>
      <c r="S104" s="25">
        <v>6</v>
      </c>
      <c r="T104" s="52">
        <v>29</v>
      </c>
      <c r="U104" s="52">
        <v>33</v>
      </c>
      <c r="V104" s="25">
        <f>weekly_deaths_location_cause_and_excess_deaths_care_homes[[#This Row],[Other causes]]-weekly_deaths_location_cause_and_excess_deaths_care_homes[[#This Row],[Other causes five year average]]</f>
        <v>-4</v>
      </c>
    </row>
    <row r="105" spans="1:22" x14ac:dyDescent="0.35">
      <c r="A105" s="14" t="s">
        <v>85</v>
      </c>
      <c r="B105" s="15">
        <v>42</v>
      </c>
      <c r="C105" s="16">
        <v>44116</v>
      </c>
      <c r="D105" s="57">
        <v>249</v>
      </c>
      <c r="E105" s="2">
        <v>249</v>
      </c>
      <c r="F105" s="2">
        <f>weekly_deaths_location_cause_and_excess_deaths_care_homes[[#This Row],[All causes]]-weekly_deaths_location_cause_and_excess_deaths_care_homes[[#This Row],[All causes five year average]]</f>
        <v>0</v>
      </c>
      <c r="G105" s="2">
        <v>46</v>
      </c>
      <c r="H105" s="2">
        <v>61</v>
      </c>
      <c r="I105" s="2">
        <f>weekly_deaths_location_cause_and_excess_deaths_care_homes[[#This Row],[Cancer deaths]]-weekly_deaths_location_cause_and_excess_deaths_care_homes[[#This Row],[Cancer five year average]]</f>
        <v>-15</v>
      </c>
      <c r="J105" s="2">
        <v>76</v>
      </c>
      <c r="K105" s="2">
        <v>79</v>
      </c>
      <c r="L105" s="2">
        <f>weekly_deaths_location_cause_and_excess_deaths_care_homes[[#This Row],[Dementia / Alzhemier''s deaths]]-weekly_deaths_location_cause_and_excess_deaths_care_homes[[#This Row],[Dementia / Alzheimer''s five year average]]</f>
        <v>-3</v>
      </c>
      <c r="M105" s="25">
        <v>51</v>
      </c>
      <c r="N105" s="25">
        <v>51</v>
      </c>
      <c r="O105" s="25">
        <f>weekly_deaths_location_cause_and_excess_deaths_care_homes[[#This Row],[Circulatory deaths]]-weekly_deaths_location_cause_and_excess_deaths_care_homes[[#This Row],[Circulatory five year average]]</f>
        <v>0</v>
      </c>
      <c r="P105" s="25">
        <v>18</v>
      </c>
      <c r="Q105" s="25">
        <v>23</v>
      </c>
      <c r="R105" s="25">
        <f>weekly_deaths_location_cause_and_excess_deaths_care_homes[[#This Row],[Respiratory deaths]]-weekly_deaths_location_cause_and_excess_deaths_care_homes[[#This Row],[Respiratory five year average]]</f>
        <v>-5</v>
      </c>
      <c r="S105" s="25">
        <v>12</v>
      </c>
      <c r="T105" s="52">
        <v>46</v>
      </c>
      <c r="U105" s="52">
        <v>34</v>
      </c>
      <c r="V105" s="25">
        <f>weekly_deaths_location_cause_and_excess_deaths_care_homes[[#This Row],[Other causes]]-weekly_deaths_location_cause_and_excess_deaths_care_homes[[#This Row],[Other causes five year average]]</f>
        <v>12</v>
      </c>
    </row>
    <row r="106" spans="1:22" x14ac:dyDescent="0.35">
      <c r="A106" s="14" t="s">
        <v>85</v>
      </c>
      <c r="B106" s="15">
        <v>43</v>
      </c>
      <c r="C106" s="16">
        <v>44123</v>
      </c>
      <c r="D106" s="57">
        <v>254</v>
      </c>
      <c r="E106" s="2">
        <v>242</v>
      </c>
      <c r="F106" s="2">
        <f>weekly_deaths_location_cause_and_excess_deaths_care_homes[[#This Row],[All causes]]-weekly_deaths_location_cause_and_excess_deaths_care_homes[[#This Row],[All causes five year average]]</f>
        <v>12</v>
      </c>
      <c r="G106" s="2">
        <v>64</v>
      </c>
      <c r="H106" s="2">
        <v>72</v>
      </c>
      <c r="I106" s="2">
        <f>weekly_deaths_location_cause_and_excess_deaths_care_homes[[#This Row],[Cancer deaths]]-weekly_deaths_location_cause_and_excess_deaths_care_homes[[#This Row],[Cancer five year average]]</f>
        <v>-8</v>
      </c>
      <c r="J106" s="2">
        <v>73</v>
      </c>
      <c r="K106" s="2">
        <v>66</v>
      </c>
      <c r="L106" s="2">
        <f>weekly_deaths_location_cause_and_excess_deaths_care_homes[[#This Row],[Dementia / Alzhemier''s deaths]]-weekly_deaths_location_cause_and_excess_deaths_care_homes[[#This Row],[Dementia / Alzheimer''s five year average]]</f>
        <v>7</v>
      </c>
      <c r="M106" s="25">
        <v>54</v>
      </c>
      <c r="N106" s="25">
        <v>50</v>
      </c>
      <c r="O106" s="25">
        <f>weekly_deaths_location_cause_and_excess_deaths_care_homes[[#This Row],[Circulatory deaths]]-weekly_deaths_location_cause_and_excess_deaths_care_homes[[#This Row],[Circulatory five year average]]</f>
        <v>4</v>
      </c>
      <c r="P106" s="25">
        <v>13</v>
      </c>
      <c r="Q106" s="25">
        <v>19</v>
      </c>
      <c r="R106" s="25">
        <f>weekly_deaths_location_cause_and_excess_deaths_care_homes[[#This Row],[Respiratory deaths]]-weekly_deaths_location_cause_and_excess_deaths_care_homes[[#This Row],[Respiratory five year average]]</f>
        <v>-6</v>
      </c>
      <c r="S106" s="25">
        <v>15</v>
      </c>
      <c r="T106" s="52">
        <v>35</v>
      </c>
      <c r="U106" s="52">
        <v>35</v>
      </c>
      <c r="V106" s="25">
        <f>weekly_deaths_location_cause_and_excess_deaths_care_homes[[#This Row],[Other causes]]-weekly_deaths_location_cause_and_excess_deaths_care_homes[[#This Row],[Other causes five year average]]</f>
        <v>0</v>
      </c>
    </row>
    <row r="107" spans="1:22" x14ac:dyDescent="0.35">
      <c r="A107" s="14" t="s">
        <v>85</v>
      </c>
      <c r="B107" s="15">
        <v>44</v>
      </c>
      <c r="C107" s="16">
        <v>44130</v>
      </c>
      <c r="D107" s="57">
        <v>248</v>
      </c>
      <c r="E107" s="2">
        <v>244</v>
      </c>
      <c r="F107" s="2">
        <f>weekly_deaths_location_cause_and_excess_deaths_care_homes[[#This Row],[All causes]]-weekly_deaths_location_cause_and_excess_deaths_care_homes[[#This Row],[All causes five year average]]</f>
        <v>4</v>
      </c>
      <c r="G107" s="2">
        <v>52</v>
      </c>
      <c r="H107" s="2">
        <v>67</v>
      </c>
      <c r="I107" s="2">
        <f>weekly_deaths_location_cause_and_excess_deaths_care_homes[[#This Row],[Cancer deaths]]-weekly_deaths_location_cause_and_excess_deaths_care_homes[[#This Row],[Cancer five year average]]</f>
        <v>-15</v>
      </c>
      <c r="J107" s="2">
        <v>73</v>
      </c>
      <c r="K107" s="2">
        <v>78</v>
      </c>
      <c r="L107" s="2">
        <f>weekly_deaths_location_cause_and_excess_deaths_care_homes[[#This Row],[Dementia / Alzhemier''s deaths]]-weekly_deaths_location_cause_and_excess_deaths_care_homes[[#This Row],[Dementia / Alzheimer''s five year average]]</f>
        <v>-5</v>
      </c>
      <c r="M107" s="25">
        <v>40</v>
      </c>
      <c r="N107" s="25">
        <v>44</v>
      </c>
      <c r="O107" s="25">
        <f>weekly_deaths_location_cause_and_excess_deaths_care_homes[[#This Row],[Circulatory deaths]]-weekly_deaths_location_cause_and_excess_deaths_care_homes[[#This Row],[Circulatory five year average]]</f>
        <v>-4</v>
      </c>
      <c r="P107" s="25">
        <v>12</v>
      </c>
      <c r="Q107" s="25">
        <v>20</v>
      </c>
      <c r="R107" s="25">
        <f>weekly_deaths_location_cause_and_excess_deaths_care_homes[[#This Row],[Respiratory deaths]]-weekly_deaths_location_cause_and_excess_deaths_care_homes[[#This Row],[Respiratory five year average]]</f>
        <v>-8</v>
      </c>
      <c r="S107" s="25">
        <v>30</v>
      </c>
      <c r="T107" s="52">
        <v>41</v>
      </c>
      <c r="U107" s="52">
        <v>36</v>
      </c>
      <c r="V107" s="25">
        <f>weekly_deaths_location_cause_and_excess_deaths_care_homes[[#This Row],[Other causes]]-weekly_deaths_location_cause_and_excess_deaths_care_homes[[#This Row],[Other causes five year average]]</f>
        <v>5</v>
      </c>
    </row>
    <row r="108" spans="1:22" x14ac:dyDescent="0.35">
      <c r="A108" s="14" t="s">
        <v>85</v>
      </c>
      <c r="B108" s="15">
        <v>45</v>
      </c>
      <c r="C108" s="16">
        <v>44137</v>
      </c>
      <c r="D108" s="57">
        <v>272</v>
      </c>
      <c r="E108" s="2">
        <v>263</v>
      </c>
      <c r="F108" s="2">
        <f>weekly_deaths_location_cause_and_excess_deaths_care_homes[[#This Row],[All causes]]-weekly_deaths_location_cause_and_excess_deaths_care_homes[[#This Row],[All causes five year average]]</f>
        <v>9</v>
      </c>
      <c r="G108" s="2">
        <v>61</v>
      </c>
      <c r="H108" s="2">
        <v>72</v>
      </c>
      <c r="I108" s="2">
        <f>weekly_deaths_location_cause_and_excess_deaths_care_homes[[#This Row],[Cancer deaths]]-weekly_deaths_location_cause_and_excess_deaths_care_homes[[#This Row],[Cancer five year average]]</f>
        <v>-11</v>
      </c>
      <c r="J108" s="2">
        <v>65</v>
      </c>
      <c r="K108" s="2">
        <v>84</v>
      </c>
      <c r="L108" s="2">
        <f>weekly_deaths_location_cause_and_excess_deaths_care_homes[[#This Row],[Dementia / Alzhemier''s deaths]]-weekly_deaths_location_cause_and_excess_deaths_care_homes[[#This Row],[Dementia / Alzheimer''s five year average]]</f>
        <v>-19</v>
      </c>
      <c r="M108" s="25">
        <v>48</v>
      </c>
      <c r="N108" s="25">
        <v>50</v>
      </c>
      <c r="O108" s="25">
        <f>weekly_deaths_location_cause_and_excess_deaths_care_homes[[#This Row],[Circulatory deaths]]-weekly_deaths_location_cause_and_excess_deaths_care_homes[[#This Row],[Circulatory five year average]]</f>
        <v>-2</v>
      </c>
      <c r="P108" s="25">
        <v>14</v>
      </c>
      <c r="Q108" s="25">
        <v>22</v>
      </c>
      <c r="R108" s="25">
        <f>weekly_deaths_location_cause_and_excess_deaths_care_homes[[#This Row],[Respiratory deaths]]-weekly_deaths_location_cause_and_excess_deaths_care_homes[[#This Row],[Respiratory five year average]]</f>
        <v>-8</v>
      </c>
      <c r="S108" s="25">
        <v>49</v>
      </c>
      <c r="T108" s="52">
        <v>35</v>
      </c>
      <c r="U108" s="52">
        <v>36</v>
      </c>
      <c r="V108" s="25">
        <f>weekly_deaths_location_cause_and_excess_deaths_care_homes[[#This Row],[Other causes]]-weekly_deaths_location_cause_and_excess_deaths_care_homes[[#This Row],[Other causes five year average]]</f>
        <v>-1</v>
      </c>
    </row>
    <row r="109" spans="1:22" x14ac:dyDescent="0.35">
      <c r="A109" s="14" t="s">
        <v>85</v>
      </c>
      <c r="B109" s="15">
        <v>46</v>
      </c>
      <c r="C109" s="16">
        <v>44144</v>
      </c>
      <c r="D109" s="57">
        <v>295</v>
      </c>
      <c r="E109" s="2">
        <v>274</v>
      </c>
      <c r="F109" s="2">
        <f>weekly_deaths_location_cause_and_excess_deaths_care_homes[[#This Row],[All causes]]-weekly_deaths_location_cause_and_excess_deaths_care_homes[[#This Row],[All causes five year average]]</f>
        <v>21</v>
      </c>
      <c r="G109" s="2">
        <v>49</v>
      </c>
      <c r="H109" s="2">
        <v>75</v>
      </c>
      <c r="I109" s="2">
        <f>weekly_deaths_location_cause_and_excess_deaths_care_homes[[#This Row],[Cancer deaths]]-weekly_deaths_location_cause_and_excess_deaths_care_homes[[#This Row],[Cancer five year average]]</f>
        <v>-26</v>
      </c>
      <c r="J109" s="2">
        <v>80</v>
      </c>
      <c r="K109" s="2">
        <v>87</v>
      </c>
      <c r="L109" s="2">
        <f>weekly_deaths_location_cause_and_excess_deaths_care_homes[[#This Row],[Dementia / Alzhemier''s deaths]]-weekly_deaths_location_cause_and_excess_deaths_care_homes[[#This Row],[Dementia / Alzheimer''s five year average]]</f>
        <v>-7</v>
      </c>
      <c r="M109" s="25">
        <v>38</v>
      </c>
      <c r="N109" s="25">
        <v>49</v>
      </c>
      <c r="O109" s="25">
        <f>weekly_deaths_location_cause_and_excess_deaths_care_homes[[#This Row],[Circulatory deaths]]-weekly_deaths_location_cause_and_excess_deaths_care_homes[[#This Row],[Circulatory five year average]]</f>
        <v>-11</v>
      </c>
      <c r="P109" s="25">
        <v>14</v>
      </c>
      <c r="Q109" s="25">
        <v>22</v>
      </c>
      <c r="R109" s="25">
        <f>weekly_deaths_location_cause_and_excess_deaths_care_homes[[#This Row],[Respiratory deaths]]-weekly_deaths_location_cause_and_excess_deaths_care_homes[[#This Row],[Respiratory five year average]]</f>
        <v>-8</v>
      </c>
      <c r="S109" s="25">
        <v>67</v>
      </c>
      <c r="T109" s="52">
        <v>47</v>
      </c>
      <c r="U109" s="52">
        <v>41</v>
      </c>
      <c r="V109" s="25">
        <f>weekly_deaths_location_cause_and_excess_deaths_care_homes[[#This Row],[Other causes]]-weekly_deaths_location_cause_and_excess_deaths_care_homes[[#This Row],[Other causes five year average]]</f>
        <v>6</v>
      </c>
    </row>
    <row r="110" spans="1:22" x14ac:dyDescent="0.35">
      <c r="A110" s="14" t="s">
        <v>85</v>
      </c>
      <c r="B110" s="15">
        <v>47</v>
      </c>
      <c r="C110" s="16">
        <v>44151</v>
      </c>
      <c r="D110" s="57">
        <v>319</v>
      </c>
      <c r="E110" s="2">
        <v>270</v>
      </c>
      <c r="F110" s="2">
        <f>weekly_deaths_location_cause_and_excess_deaths_care_homes[[#This Row],[All causes]]-weekly_deaths_location_cause_and_excess_deaths_care_homes[[#This Row],[All causes five year average]]</f>
        <v>49</v>
      </c>
      <c r="G110" s="2">
        <v>48</v>
      </c>
      <c r="H110" s="2">
        <v>67</v>
      </c>
      <c r="I110" s="2">
        <f>weekly_deaths_location_cause_and_excess_deaths_care_homes[[#This Row],[Cancer deaths]]-weekly_deaths_location_cause_and_excess_deaths_care_homes[[#This Row],[Cancer five year average]]</f>
        <v>-19</v>
      </c>
      <c r="J110" s="2">
        <v>93</v>
      </c>
      <c r="K110" s="2">
        <v>91</v>
      </c>
      <c r="L110" s="2">
        <f>weekly_deaths_location_cause_and_excess_deaths_care_homes[[#This Row],[Dementia / Alzhemier''s deaths]]-weekly_deaths_location_cause_and_excess_deaths_care_homes[[#This Row],[Dementia / Alzheimer''s five year average]]</f>
        <v>2</v>
      </c>
      <c r="M110" s="25">
        <v>53</v>
      </c>
      <c r="N110" s="25">
        <v>50</v>
      </c>
      <c r="O110" s="25">
        <f>weekly_deaths_location_cause_and_excess_deaths_care_homes[[#This Row],[Circulatory deaths]]-weekly_deaths_location_cause_and_excess_deaths_care_homes[[#This Row],[Circulatory five year average]]</f>
        <v>3</v>
      </c>
      <c r="P110" s="25">
        <v>17</v>
      </c>
      <c r="Q110" s="25">
        <v>23</v>
      </c>
      <c r="R110" s="25">
        <f>weekly_deaths_location_cause_and_excess_deaths_care_homes[[#This Row],[Respiratory deaths]]-weekly_deaths_location_cause_and_excess_deaths_care_homes[[#This Row],[Respiratory five year average]]</f>
        <v>-6</v>
      </c>
      <c r="S110" s="25">
        <v>61</v>
      </c>
      <c r="T110" s="52">
        <v>47</v>
      </c>
      <c r="U110" s="52">
        <v>39</v>
      </c>
      <c r="V110" s="25">
        <f>weekly_deaths_location_cause_and_excess_deaths_care_homes[[#This Row],[Other causes]]-weekly_deaths_location_cause_and_excess_deaths_care_homes[[#This Row],[Other causes five year average]]</f>
        <v>8</v>
      </c>
    </row>
    <row r="111" spans="1:22" x14ac:dyDescent="0.35">
      <c r="A111" s="14" t="s">
        <v>85</v>
      </c>
      <c r="B111" s="15">
        <v>48</v>
      </c>
      <c r="C111" s="16">
        <v>44158</v>
      </c>
      <c r="D111" s="57">
        <v>304</v>
      </c>
      <c r="E111" s="2">
        <v>266</v>
      </c>
      <c r="F111" s="2">
        <f>weekly_deaths_location_cause_and_excess_deaths_care_homes[[#This Row],[All causes]]-weekly_deaths_location_cause_and_excess_deaths_care_homes[[#This Row],[All causes five year average]]</f>
        <v>38</v>
      </c>
      <c r="G111" s="2">
        <v>47</v>
      </c>
      <c r="H111" s="2">
        <v>62</v>
      </c>
      <c r="I111" s="2">
        <f>weekly_deaths_location_cause_and_excess_deaths_care_homes[[#This Row],[Cancer deaths]]-weekly_deaths_location_cause_and_excess_deaths_care_homes[[#This Row],[Cancer five year average]]</f>
        <v>-15</v>
      </c>
      <c r="J111" s="2">
        <v>84</v>
      </c>
      <c r="K111" s="2">
        <v>83</v>
      </c>
      <c r="L111" s="2">
        <f>weekly_deaths_location_cause_and_excess_deaths_care_homes[[#This Row],[Dementia / Alzhemier''s deaths]]-weekly_deaths_location_cause_and_excess_deaths_care_homes[[#This Row],[Dementia / Alzheimer''s five year average]]</f>
        <v>1</v>
      </c>
      <c r="M111" s="25">
        <v>40</v>
      </c>
      <c r="N111" s="25">
        <v>58</v>
      </c>
      <c r="O111" s="25">
        <f>weekly_deaths_location_cause_and_excess_deaths_care_homes[[#This Row],[Circulatory deaths]]-weekly_deaths_location_cause_and_excess_deaths_care_homes[[#This Row],[Circulatory five year average]]</f>
        <v>-18</v>
      </c>
      <c r="P111" s="25">
        <v>21</v>
      </c>
      <c r="Q111" s="25">
        <v>25</v>
      </c>
      <c r="R111" s="25">
        <f>weekly_deaths_location_cause_and_excess_deaths_care_homes[[#This Row],[Respiratory deaths]]-weekly_deaths_location_cause_and_excess_deaths_care_homes[[#This Row],[Respiratory five year average]]</f>
        <v>-4</v>
      </c>
      <c r="S111" s="25">
        <v>70</v>
      </c>
      <c r="T111" s="52">
        <v>42</v>
      </c>
      <c r="U111" s="52">
        <v>37</v>
      </c>
      <c r="V111" s="25">
        <f>weekly_deaths_location_cause_and_excess_deaths_care_homes[[#This Row],[Other causes]]-weekly_deaths_location_cause_and_excess_deaths_care_homes[[#This Row],[Other causes five year average]]</f>
        <v>5</v>
      </c>
    </row>
    <row r="112" spans="1:22" x14ac:dyDescent="0.35">
      <c r="A112" s="14" t="s">
        <v>85</v>
      </c>
      <c r="B112" s="15">
        <v>49</v>
      </c>
      <c r="C112" s="16">
        <v>44165</v>
      </c>
      <c r="D112" s="57">
        <v>297</v>
      </c>
      <c r="E112" s="2">
        <v>265</v>
      </c>
      <c r="F112" s="2">
        <f>weekly_deaths_location_cause_and_excess_deaths_care_homes[[#This Row],[All causes]]-weekly_deaths_location_cause_and_excess_deaths_care_homes[[#This Row],[All causes five year average]]</f>
        <v>32</v>
      </c>
      <c r="G112" s="2">
        <v>54</v>
      </c>
      <c r="H112" s="2">
        <v>68</v>
      </c>
      <c r="I112" s="2">
        <f>weekly_deaths_location_cause_and_excess_deaths_care_homes[[#This Row],[Cancer deaths]]-weekly_deaths_location_cause_and_excess_deaths_care_homes[[#This Row],[Cancer five year average]]</f>
        <v>-14</v>
      </c>
      <c r="J112" s="2">
        <v>76</v>
      </c>
      <c r="K112" s="2">
        <v>93</v>
      </c>
      <c r="L112" s="2">
        <f>weekly_deaths_location_cause_and_excess_deaths_care_homes[[#This Row],[Dementia / Alzhemier''s deaths]]-weekly_deaths_location_cause_and_excess_deaths_care_homes[[#This Row],[Dementia / Alzheimer''s five year average]]</f>
        <v>-17</v>
      </c>
      <c r="M112" s="25">
        <v>45</v>
      </c>
      <c r="N112" s="25">
        <v>48</v>
      </c>
      <c r="O112" s="25">
        <f>weekly_deaths_location_cause_and_excess_deaths_care_homes[[#This Row],[Circulatory deaths]]-weekly_deaths_location_cause_and_excess_deaths_care_homes[[#This Row],[Circulatory five year average]]</f>
        <v>-3</v>
      </c>
      <c r="P112" s="25">
        <v>10</v>
      </c>
      <c r="Q112" s="25">
        <v>21</v>
      </c>
      <c r="R112" s="25">
        <f>weekly_deaths_location_cause_and_excess_deaths_care_homes[[#This Row],[Respiratory deaths]]-weekly_deaths_location_cause_and_excess_deaths_care_homes[[#This Row],[Respiratory five year average]]</f>
        <v>-11</v>
      </c>
      <c r="S112" s="25">
        <v>69</v>
      </c>
      <c r="T112" s="52">
        <v>43</v>
      </c>
      <c r="U112" s="52">
        <v>35</v>
      </c>
      <c r="V112" s="25">
        <f>weekly_deaths_location_cause_and_excess_deaths_care_homes[[#This Row],[Other causes]]-weekly_deaths_location_cause_and_excess_deaths_care_homes[[#This Row],[Other causes five year average]]</f>
        <v>8</v>
      </c>
    </row>
    <row r="113" spans="1:23" x14ac:dyDescent="0.35">
      <c r="A113" s="14" t="s">
        <v>85</v>
      </c>
      <c r="B113" s="15">
        <v>50</v>
      </c>
      <c r="C113" s="16">
        <v>44172</v>
      </c>
      <c r="D113" s="57">
        <v>271</v>
      </c>
      <c r="E113" s="2">
        <v>304</v>
      </c>
      <c r="F113" s="2">
        <f>weekly_deaths_location_cause_and_excess_deaths_care_homes[[#This Row],[All causes]]-weekly_deaths_location_cause_and_excess_deaths_care_homes[[#This Row],[All causes five year average]]</f>
        <v>-33</v>
      </c>
      <c r="G113" s="2">
        <v>49</v>
      </c>
      <c r="H113" s="2">
        <v>71</v>
      </c>
      <c r="I113" s="2">
        <f>weekly_deaths_location_cause_and_excess_deaths_care_homes[[#This Row],[Cancer deaths]]-weekly_deaths_location_cause_and_excess_deaths_care_homes[[#This Row],[Cancer five year average]]</f>
        <v>-22</v>
      </c>
      <c r="J113" s="2">
        <v>65</v>
      </c>
      <c r="K113" s="2">
        <v>106</v>
      </c>
      <c r="L113" s="2">
        <f>weekly_deaths_location_cause_and_excess_deaths_care_homes[[#This Row],[Dementia / Alzhemier''s deaths]]-weekly_deaths_location_cause_and_excess_deaths_care_homes[[#This Row],[Dementia / Alzheimer''s five year average]]</f>
        <v>-41</v>
      </c>
      <c r="M113" s="25">
        <v>54</v>
      </c>
      <c r="N113" s="25">
        <v>53</v>
      </c>
      <c r="O113" s="25">
        <f>weekly_deaths_location_cause_and_excess_deaths_care_homes[[#This Row],[Circulatory deaths]]-weekly_deaths_location_cause_and_excess_deaths_care_homes[[#This Row],[Circulatory five year average]]</f>
        <v>1</v>
      </c>
      <c r="P113" s="25">
        <v>12</v>
      </c>
      <c r="Q113" s="25">
        <v>25</v>
      </c>
      <c r="R113" s="25">
        <f>weekly_deaths_location_cause_and_excess_deaths_care_homes[[#This Row],[Respiratory deaths]]-weekly_deaths_location_cause_and_excess_deaths_care_homes[[#This Row],[Respiratory five year average]]</f>
        <v>-13</v>
      </c>
      <c r="S113" s="25">
        <v>61</v>
      </c>
      <c r="T113" s="52">
        <v>30</v>
      </c>
      <c r="U113" s="52">
        <v>49</v>
      </c>
      <c r="V113" s="25">
        <f>weekly_deaths_location_cause_and_excess_deaths_care_homes[[#This Row],[Other causes]]-weekly_deaths_location_cause_and_excess_deaths_care_homes[[#This Row],[Other causes five year average]]</f>
        <v>-19</v>
      </c>
    </row>
    <row r="114" spans="1:23" x14ac:dyDescent="0.35">
      <c r="A114" s="14" t="s">
        <v>85</v>
      </c>
      <c r="B114" s="15">
        <v>51</v>
      </c>
      <c r="C114" s="16">
        <v>44179</v>
      </c>
      <c r="D114" s="57">
        <v>293</v>
      </c>
      <c r="E114" s="2">
        <v>305</v>
      </c>
      <c r="F114" s="2">
        <f>weekly_deaths_location_cause_and_excess_deaths_care_homes[[#This Row],[All causes]]-weekly_deaths_location_cause_and_excess_deaths_care_homes[[#This Row],[All causes five year average]]</f>
        <v>-12</v>
      </c>
      <c r="G114" s="2">
        <v>55</v>
      </c>
      <c r="H114" s="2">
        <v>68</v>
      </c>
      <c r="I114" s="2">
        <f>weekly_deaths_location_cause_and_excess_deaths_care_homes[[#This Row],[Cancer deaths]]-weekly_deaths_location_cause_and_excess_deaths_care_homes[[#This Row],[Cancer five year average]]</f>
        <v>-13</v>
      </c>
      <c r="J114" s="2">
        <v>72</v>
      </c>
      <c r="K114" s="2">
        <v>105</v>
      </c>
      <c r="L114" s="2">
        <f>weekly_deaths_location_cause_and_excess_deaths_care_homes[[#This Row],[Dementia / Alzhemier''s deaths]]-weekly_deaths_location_cause_and_excess_deaths_care_homes[[#This Row],[Dementia / Alzheimer''s five year average]]</f>
        <v>-33</v>
      </c>
      <c r="M114" s="25">
        <v>46</v>
      </c>
      <c r="N114" s="25">
        <v>57</v>
      </c>
      <c r="O114" s="25">
        <f>weekly_deaths_location_cause_and_excess_deaths_care_homes[[#This Row],[Circulatory deaths]]-weekly_deaths_location_cause_and_excess_deaths_care_homes[[#This Row],[Circulatory five year average]]</f>
        <v>-11</v>
      </c>
      <c r="P114" s="25">
        <v>9</v>
      </c>
      <c r="Q114" s="25">
        <v>28</v>
      </c>
      <c r="R114" s="25">
        <f>weekly_deaths_location_cause_and_excess_deaths_care_homes[[#This Row],[Respiratory deaths]]-weekly_deaths_location_cause_and_excess_deaths_care_homes[[#This Row],[Respiratory five year average]]</f>
        <v>-19</v>
      </c>
      <c r="S114" s="25">
        <v>65</v>
      </c>
      <c r="T114" s="52">
        <v>46</v>
      </c>
      <c r="U114" s="52">
        <v>47</v>
      </c>
      <c r="V114" s="25">
        <f>weekly_deaths_location_cause_and_excess_deaths_care_homes[[#This Row],[Other causes]]-weekly_deaths_location_cause_and_excess_deaths_care_homes[[#This Row],[Other causes five year average]]</f>
        <v>-1</v>
      </c>
    </row>
    <row r="115" spans="1:23" x14ac:dyDescent="0.35">
      <c r="A115" s="14" t="s">
        <v>85</v>
      </c>
      <c r="B115" s="15">
        <v>52</v>
      </c>
      <c r="C115" s="16">
        <v>44186</v>
      </c>
      <c r="D115" s="57">
        <v>275</v>
      </c>
      <c r="E115" s="2">
        <v>271</v>
      </c>
      <c r="F115" s="2">
        <f>weekly_deaths_location_cause_and_excess_deaths_care_homes[[#This Row],[All causes]]-weekly_deaths_location_cause_and_excess_deaths_care_homes[[#This Row],[All causes five year average]]</f>
        <v>4</v>
      </c>
      <c r="G115" s="2">
        <v>52</v>
      </c>
      <c r="H115" s="2">
        <v>65</v>
      </c>
      <c r="I115" s="2">
        <f>weekly_deaths_location_cause_and_excess_deaths_care_homes[[#This Row],[Cancer deaths]]-weekly_deaths_location_cause_and_excess_deaths_care_homes[[#This Row],[Cancer five year average]]</f>
        <v>-13</v>
      </c>
      <c r="J115" s="2">
        <v>75</v>
      </c>
      <c r="K115" s="2">
        <v>90</v>
      </c>
      <c r="L115" s="2">
        <f>weekly_deaths_location_cause_and_excess_deaths_care_homes[[#This Row],[Dementia / Alzhemier''s deaths]]-weekly_deaths_location_cause_and_excess_deaths_care_homes[[#This Row],[Dementia / Alzheimer''s five year average]]</f>
        <v>-15</v>
      </c>
      <c r="M115" s="25">
        <v>38</v>
      </c>
      <c r="N115" s="25">
        <v>50</v>
      </c>
      <c r="O115" s="25">
        <f>weekly_deaths_location_cause_and_excess_deaths_care_homes[[#This Row],[Circulatory deaths]]-weekly_deaths_location_cause_and_excess_deaths_care_homes[[#This Row],[Circulatory five year average]]</f>
        <v>-12</v>
      </c>
      <c r="P115" s="25">
        <v>11</v>
      </c>
      <c r="Q115" s="25">
        <v>30</v>
      </c>
      <c r="R115" s="25">
        <f>weekly_deaths_location_cause_and_excess_deaths_care_homes[[#This Row],[Respiratory deaths]]-weekly_deaths_location_cause_and_excess_deaths_care_homes[[#This Row],[Respiratory five year average]]</f>
        <v>-19</v>
      </c>
      <c r="S115" s="25">
        <v>53</v>
      </c>
      <c r="T115" s="52">
        <v>46</v>
      </c>
      <c r="U115" s="52">
        <v>36</v>
      </c>
      <c r="V115" s="25">
        <f>weekly_deaths_location_cause_and_excess_deaths_care_homes[[#This Row],[Other causes]]-weekly_deaths_location_cause_and_excess_deaths_care_homes[[#This Row],[Other causes five year average]]</f>
        <v>10</v>
      </c>
    </row>
    <row r="116" spans="1:23" x14ac:dyDescent="0.35">
      <c r="A116" s="11" t="s">
        <v>85</v>
      </c>
      <c r="B116" s="15">
        <v>53</v>
      </c>
      <c r="C116" s="16">
        <v>44193</v>
      </c>
      <c r="D116" s="59">
        <v>252</v>
      </c>
      <c r="E116" s="52">
        <v>235</v>
      </c>
      <c r="F116" s="52">
        <f>weekly_deaths_location_cause_and_excess_deaths_care_homes[[#This Row],[All causes]]-weekly_deaths_location_cause_and_excess_deaths_care_homes[[#This Row],[All causes five year average]]</f>
        <v>17</v>
      </c>
      <c r="G116" s="52">
        <v>44</v>
      </c>
      <c r="H116" s="52">
        <v>54</v>
      </c>
      <c r="I116" s="52">
        <f>weekly_deaths_location_cause_and_excess_deaths_care_homes[[#This Row],[Cancer deaths]]-weekly_deaths_location_cause_and_excess_deaths_care_homes[[#This Row],[Cancer five year average]]</f>
        <v>-10</v>
      </c>
      <c r="J116" s="52">
        <v>59</v>
      </c>
      <c r="K116" s="52">
        <v>84</v>
      </c>
      <c r="L116" s="52">
        <f>weekly_deaths_location_cause_and_excess_deaths_care_homes[[#This Row],[Dementia / Alzhemier''s deaths]]-weekly_deaths_location_cause_and_excess_deaths_care_homes[[#This Row],[Dementia / Alzheimer''s five year average]]</f>
        <v>-25</v>
      </c>
      <c r="M116" s="25">
        <v>45</v>
      </c>
      <c r="N116" s="25">
        <v>51</v>
      </c>
      <c r="O116" s="25">
        <f>weekly_deaths_location_cause_and_excess_deaths_care_homes[[#This Row],[Circulatory deaths]]-weekly_deaths_location_cause_and_excess_deaths_care_homes[[#This Row],[Circulatory five year average]]</f>
        <v>-6</v>
      </c>
      <c r="P116" s="25">
        <v>11</v>
      </c>
      <c r="Q116" s="25">
        <v>17</v>
      </c>
      <c r="R116" s="25">
        <f>weekly_deaths_location_cause_and_excess_deaths_care_homes[[#This Row],[Respiratory deaths]]-weekly_deaths_location_cause_and_excess_deaths_care_homes[[#This Row],[Respiratory five year average]]</f>
        <v>-6</v>
      </c>
      <c r="S116" s="25">
        <v>53</v>
      </c>
      <c r="T116" s="52">
        <v>40</v>
      </c>
      <c r="U116" s="52">
        <v>29</v>
      </c>
      <c r="V116" s="25">
        <f>weekly_deaths_location_cause_and_excess_deaths_care_homes[[#This Row],[Other causes]]-weekly_deaths_location_cause_and_excess_deaths_care_homes[[#This Row],[Other causes five year average]]</f>
        <v>11</v>
      </c>
    </row>
    <row r="117" spans="1:23" s="85" customFormat="1" x14ac:dyDescent="0.35">
      <c r="A117" s="83" t="s">
        <v>179</v>
      </c>
      <c r="B117" s="84" t="s">
        <v>179</v>
      </c>
      <c r="C117" s="84" t="s">
        <v>179</v>
      </c>
      <c r="D117" s="76">
        <f>SUBTOTAL(109,weekly_deaths_location_cause_and_excess_deaths_care_homes[All causes])</f>
        <v>15886</v>
      </c>
      <c r="E117" s="77">
        <f>SUBTOTAL(109,weekly_deaths_location_cause_and_excess_deaths_care_homes[All causes five year average])</f>
        <v>13722</v>
      </c>
      <c r="F117" s="77">
        <f>SUBTOTAL(109,weekly_deaths_location_cause_and_excess_deaths_care_homes[All causes five year average])</f>
        <v>13722</v>
      </c>
      <c r="G117" s="77">
        <f>SUBTOTAL(109,weekly_deaths_location_cause_and_excess_deaths_care_homes[All causes excess])</f>
        <v>2164</v>
      </c>
      <c r="H117" s="77">
        <f>SUBTOTAL(109,weekly_deaths_location_cause_and_excess_deaths_care_homes[All causes excess])</f>
        <v>2164</v>
      </c>
      <c r="I117" s="77">
        <f>SUBTOTAL(109,weekly_deaths_location_cause_and_excess_deaths_care_homes[Cancer deaths])</f>
        <v>3157</v>
      </c>
      <c r="J117" s="77">
        <f>SUBTOTAL(109,weekly_deaths_location_cause_and_excess_deaths_care_homes[Cancer deaths])</f>
        <v>3157</v>
      </c>
      <c r="K117" s="77">
        <f>SUBTOTAL(109,weekly_deaths_location_cause_and_excess_deaths_care_homes[Cancer five year average])</f>
        <v>3592</v>
      </c>
      <c r="L117" s="77">
        <f>SUBTOTAL(109,weekly_deaths_location_cause_and_excess_deaths_care_homes[Cancer five year average])</f>
        <v>3592</v>
      </c>
      <c r="M117" s="77">
        <f>SUBTOTAL(109,weekly_deaths_location_cause_and_excess_deaths_care_homes[Cancer excess])</f>
        <v>-435</v>
      </c>
      <c r="N117" s="77">
        <f>SUBTOTAL(109,weekly_deaths_location_cause_and_excess_deaths_care_homes[Cancer excess])</f>
        <v>-435</v>
      </c>
      <c r="O117" s="77">
        <f>SUBTOTAL(109,weekly_deaths_location_cause_and_excess_deaths_care_homes[Dementia / Alzhemier''s deaths])</f>
        <v>4424</v>
      </c>
      <c r="P117" s="77">
        <f>SUBTOTAL(109,weekly_deaths_location_cause_and_excess_deaths_care_homes[Dementia / Alzhemier''s deaths])</f>
        <v>4424</v>
      </c>
      <c r="Q117" s="77">
        <f>SUBTOTAL(109,weekly_deaths_location_cause_and_excess_deaths_care_homes[Dementia / Alzheimer''s five year average])</f>
        <v>4303</v>
      </c>
      <c r="R117" s="77">
        <f>SUBTOTAL(109,weekly_deaths_location_cause_and_excess_deaths_care_homes[Dementia / Alzheimer''s five year average])</f>
        <v>4303</v>
      </c>
      <c r="S117" s="77">
        <f>SUBTOTAL(109,weekly_deaths_location_cause_and_excess_deaths_care_homes[Dementia / Alzheimer''s 
excess])</f>
        <v>121</v>
      </c>
      <c r="T117" s="77">
        <f>SUBTOTAL(109,weekly_deaths_location_cause_and_excess_deaths_care_homes[Dementia / Alzheimer''s 
excess])</f>
        <v>121</v>
      </c>
      <c r="U117" s="77">
        <f>SUBTOTAL(109,weekly_deaths_location_cause_and_excess_deaths_care_homes[Circulatory deaths])</f>
        <v>2582</v>
      </c>
      <c r="V117" s="77">
        <f>SUBTOTAL(109,weekly_deaths_location_cause_and_excess_deaths_care_homes[Circulatory deaths])</f>
        <v>2582</v>
      </c>
      <c r="W117" s="23"/>
    </row>
    <row r="118" spans="1:23" s="62" customForma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8"/>
      <c r="N118" s="18"/>
      <c r="O118" s="18"/>
      <c r="P118" s="18"/>
      <c r="Q118" s="5"/>
      <c r="R118" s="5"/>
      <c r="S118" s="18"/>
      <c r="T118" s="5"/>
      <c r="U118" s="5"/>
      <c r="V118" s="5"/>
      <c r="W118" s="32"/>
    </row>
    <row r="119" spans="1:23" x14ac:dyDescent="0.35">
      <c r="A119" s="22" t="s">
        <v>158</v>
      </c>
      <c r="B119" s="23"/>
      <c r="E119" s="24"/>
      <c r="F119" s="24"/>
    </row>
    <row r="120" spans="1:23" ht="62.5" thickBot="1" x14ac:dyDescent="0.4">
      <c r="A120" s="9" t="s">
        <v>63</v>
      </c>
      <c r="B120" s="13" t="s">
        <v>57</v>
      </c>
      <c r="C120" s="13" t="s">
        <v>58</v>
      </c>
      <c r="D120" s="8" t="s">
        <v>80</v>
      </c>
      <c r="E120" s="9" t="s">
        <v>134</v>
      </c>
      <c r="F120" s="9" t="s">
        <v>139</v>
      </c>
      <c r="G120" s="7" t="s">
        <v>81</v>
      </c>
      <c r="H120" s="9" t="s">
        <v>135</v>
      </c>
      <c r="I120" s="9" t="s">
        <v>136</v>
      </c>
      <c r="J120" s="9" t="s">
        <v>84</v>
      </c>
      <c r="K120" s="9" t="s">
        <v>137</v>
      </c>
      <c r="L120" s="9" t="s">
        <v>138</v>
      </c>
      <c r="M120" s="9" t="s">
        <v>145</v>
      </c>
      <c r="N120" s="9" t="s">
        <v>146</v>
      </c>
      <c r="O120" s="9" t="s">
        <v>147</v>
      </c>
      <c r="P120" s="9" t="s">
        <v>82</v>
      </c>
      <c r="Q120" s="9" t="s">
        <v>140</v>
      </c>
      <c r="R120" s="9" t="s">
        <v>141</v>
      </c>
      <c r="S120" s="9" t="s">
        <v>83</v>
      </c>
      <c r="T120" s="9" t="s">
        <v>88</v>
      </c>
      <c r="U120" s="9" t="s">
        <v>142</v>
      </c>
      <c r="V120" s="26" t="s">
        <v>143</v>
      </c>
    </row>
    <row r="121" spans="1:23" x14ac:dyDescent="0.35">
      <c r="A121" s="14" t="s">
        <v>85</v>
      </c>
      <c r="B121" s="15">
        <v>1</v>
      </c>
      <c r="C121" s="16">
        <v>43829</v>
      </c>
      <c r="D121" s="57">
        <v>304</v>
      </c>
      <c r="E121" s="2">
        <v>313</v>
      </c>
      <c r="F121" s="2">
        <f>weekly_deaths_location_cause_and_excess_deaths_home_non_institution[[#This Row],[All causes]]-weekly_deaths_location_cause_and_excess_deaths_home_non_institution[[#This Row],[All causes five year average]]</f>
        <v>-9</v>
      </c>
      <c r="G121" s="2">
        <v>93</v>
      </c>
      <c r="H121" s="2">
        <v>99</v>
      </c>
      <c r="I121" s="2">
        <f>weekly_deaths_location_cause_and_excess_deaths_home_non_institution[[#This Row],[Cancer deaths]]-weekly_deaths_location_cause_and_excess_deaths_home_non_institution[[#This Row],[Cancer five year average]]</f>
        <v>-6</v>
      </c>
      <c r="J121" s="2">
        <v>14</v>
      </c>
      <c r="K121" s="2">
        <v>11</v>
      </c>
      <c r="L121" s="2">
        <f>weekly_deaths_location_cause_and_excess_deaths_home_non_institution[[#This Row],[Dementia / Alzhemier''s deaths]]-weekly_deaths_location_cause_and_excess_deaths_home_non_institution[[#This Row],[Dementia / Alzheimer''s five year average]]</f>
        <v>3</v>
      </c>
      <c r="M121" s="25">
        <v>106</v>
      </c>
      <c r="N121" s="25">
        <v>97</v>
      </c>
      <c r="O121" s="25">
        <f>weekly_deaths_location_cause_and_excess_deaths_home_non_institution[[#This Row],[Circulatory deaths]]-weekly_deaths_location_cause_and_excess_deaths_home_non_institution[[#This Row],[Circulatory five year average]]</f>
        <v>9</v>
      </c>
      <c r="P121" s="25">
        <v>30</v>
      </c>
      <c r="Q121" s="25">
        <v>33</v>
      </c>
      <c r="R121" s="25">
        <f>weekly_deaths_location_cause_and_excess_deaths_home_non_institution[[#This Row],[Respiratory deaths]]-weekly_deaths_location_cause_and_excess_deaths_home_non_institution[[#This Row],[Respiratory five year average]]</f>
        <v>-3</v>
      </c>
      <c r="S121" s="25">
        <v>0</v>
      </c>
      <c r="T121" s="52">
        <v>61</v>
      </c>
      <c r="U121" s="67">
        <v>73</v>
      </c>
      <c r="V121" s="67">
        <f>weekly_deaths_location_cause_and_excess_deaths_home_non_institution[[#This Row],[Other causes]]-weekly_deaths_location_cause_and_excess_deaths_home_non_institution[[#This Row],[Other causes five year average]]</f>
        <v>-12</v>
      </c>
    </row>
    <row r="122" spans="1:23" x14ac:dyDescent="0.35">
      <c r="A122" s="14" t="s">
        <v>85</v>
      </c>
      <c r="B122" s="15">
        <v>2</v>
      </c>
      <c r="C122" s="16">
        <v>43836</v>
      </c>
      <c r="D122" s="57">
        <v>405</v>
      </c>
      <c r="E122" s="2">
        <v>402</v>
      </c>
      <c r="F122" s="2">
        <f>weekly_deaths_location_cause_and_excess_deaths_home_non_institution[[#This Row],[All causes]]-weekly_deaths_location_cause_and_excess_deaths_home_non_institution[[#This Row],[All causes five year average]]</f>
        <v>3</v>
      </c>
      <c r="G122" s="2">
        <v>111</v>
      </c>
      <c r="H122" s="2">
        <v>101</v>
      </c>
      <c r="I122" s="2">
        <f>weekly_deaths_location_cause_and_excess_deaths_home_non_institution[[#This Row],[Cancer deaths]]-weekly_deaths_location_cause_and_excess_deaths_home_non_institution[[#This Row],[Cancer five year average]]</f>
        <v>10</v>
      </c>
      <c r="J122" s="2">
        <v>15</v>
      </c>
      <c r="K122" s="2">
        <v>16</v>
      </c>
      <c r="L122" s="2">
        <f>weekly_deaths_location_cause_and_excess_deaths_home_non_institution[[#This Row],[Dementia / Alzhemier''s deaths]]-weekly_deaths_location_cause_and_excess_deaths_home_non_institution[[#This Row],[Dementia / Alzheimer''s five year average]]</f>
        <v>-1</v>
      </c>
      <c r="M122" s="25">
        <v>128</v>
      </c>
      <c r="N122" s="25">
        <v>147</v>
      </c>
      <c r="O122" s="25">
        <f>weekly_deaths_location_cause_and_excess_deaths_home_non_institution[[#This Row],[Circulatory deaths]]-weekly_deaths_location_cause_and_excess_deaths_home_non_institution[[#This Row],[Circulatory five year average]]</f>
        <v>-19</v>
      </c>
      <c r="P122" s="25">
        <v>50</v>
      </c>
      <c r="Q122" s="25">
        <v>41</v>
      </c>
      <c r="R122" s="25">
        <f>weekly_deaths_location_cause_and_excess_deaths_home_non_institution[[#This Row],[Respiratory deaths]]-weekly_deaths_location_cause_and_excess_deaths_home_non_institution[[#This Row],[Respiratory five year average]]</f>
        <v>9</v>
      </c>
      <c r="S122" s="25">
        <v>0</v>
      </c>
      <c r="T122" s="52">
        <v>101</v>
      </c>
      <c r="U122" s="67">
        <v>97</v>
      </c>
      <c r="V122" s="67">
        <f>weekly_deaths_location_cause_and_excess_deaths_home_non_institution[[#This Row],[Other causes]]-weekly_deaths_location_cause_and_excess_deaths_home_non_institution[[#This Row],[Other causes five year average]]</f>
        <v>4</v>
      </c>
    </row>
    <row r="123" spans="1:23" x14ac:dyDescent="0.35">
      <c r="A123" s="14" t="s">
        <v>85</v>
      </c>
      <c r="B123" s="15">
        <v>3</v>
      </c>
      <c r="C123" s="16">
        <v>43843</v>
      </c>
      <c r="D123" s="57">
        <v>362</v>
      </c>
      <c r="E123" s="2">
        <v>333</v>
      </c>
      <c r="F123" s="2">
        <f>weekly_deaths_location_cause_and_excess_deaths_home_non_institution[[#This Row],[All causes]]-weekly_deaths_location_cause_and_excess_deaths_home_non_institution[[#This Row],[All causes five year average]]</f>
        <v>29</v>
      </c>
      <c r="G123" s="2">
        <v>109</v>
      </c>
      <c r="H123" s="2">
        <v>93</v>
      </c>
      <c r="I123" s="2">
        <f>weekly_deaths_location_cause_and_excess_deaths_home_non_institution[[#This Row],[Cancer deaths]]-weekly_deaths_location_cause_and_excess_deaths_home_non_institution[[#This Row],[Cancer five year average]]</f>
        <v>16</v>
      </c>
      <c r="J123" s="2">
        <v>13</v>
      </c>
      <c r="K123" s="2">
        <v>12</v>
      </c>
      <c r="L123" s="2">
        <f>weekly_deaths_location_cause_and_excess_deaths_home_non_institution[[#This Row],[Dementia / Alzhemier''s deaths]]-weekly_deaths_location_cause_and_excess_deaths_home_non_institution[[#This Row],[Dementia / Alzheimer''s five year average]]</f>
        <v>1</v>
      </c>
      <c r="M123" s="25">
        <v>109</v>
      </c>
      <c r="N123" s="25">
        <v>113</v>
      </c>
      <c r="O123" s="25">
        <f>weekly_deaths_location_cause_and_excess_deaths_home_non_institution[[#This Row],[Circulatory deaths]]-weekly_deaths_location_cause_and_excess_deaths_home_non_institution[[#This Row],[Circulatory five year average]]</f>
        <v>-4</v>
      </c>
      <c r="P123" s="25">
        <v>36</v>
      </c>
      <c r="Q123" s="25">
        <v>35</v>
      </c>
      <c r="R123" s="25">
        <f>weekly_deaths_location_cause_and_excess_deaths_home_non_institution[[#This Row],[Respiratory deaths]]-weekly_deaths_location_cause_and_excess_deaths_home_non_institution[[#This Row],[Respiratory five year average]]</f>
        <v>1</v>
      </c>
      <c r="S123" s="25">
        <v>0</v>
      </c>
      <c r="T123" s="52">
        <v>95</v>
      </c>
      <c r="U123" s="67">
        <v>80</v>
      </c>
      <c r="V123" s="67">
        <f>weekly_deaths_location_cause_and_excess_deaths_home_non_institution[[#This Row],[Other causes]]-weekly_deaths_location_cause_and_excess_deaths_home_non_institution[[#This Row],[Other causes five year average]]</f>
        <v>15</v>
      </c>
    </row>
    <row r="124" spans="1:23" x14ac:dyDescent="0.35">
      <c r="A124" s="14" t="s">
        <v>85</v>
      </c>
      <c r="B124" s="15">
        <v>4</v>
      </c>
      <c r="C124" s="16">
        <v>43850</v>
      </c>
      <c r="D124" s="57">
        <v>330</v>
      </c>
      <c r="E124" s="2">
        <v>338</v>
      </c>
      <c r="F124" s="2">
        <f>weekly_deaths_location_cause_and_excess_deaths_home_non_institution[[#This Row],[All causes]]-weekly_deaths_location_cause_and_excess_deaths_home_non_institution[[#This Row],[All causes five year average]]</f>
        <v>-8</v>
      </c>
      <c r="G124" s="2">
        <v>95</v>
      </c>
      <c r="H124" s="2">
        <v>97</v>
      </c>
      <c r="I124" s="2">
        <f>weekly_deaths_location_cause_and_excess_deaths_home_non_institution[[#This Row],[Cancer deaths]]-weekly_deaths_location_cause_and_excess_deaths_home_non_institution[[#This Row],[Cancer five year average]]</f>
        <v>-2</v>
      </c>
      <c r="J124" s="2">
        <v>17</v>
      </c>
      <c r="K124" s="2">
        <v>11</v>
      </c>
      <c r="L124" s="2">
        <f>weekly_deaths_location_cause_and_excess_deaths_home_non_institution[[#This Row],[Dementia / Alzhemier''s deaths]]-weekly_deaths_location_cause_and_excess_deaths_home_non_institution[[#This Row],[Dementia / Alzheimer''s five year average]]</f>
        <v>6</v>
      </c>
      <c r="M124" s="25">
        <v>104</v>
      </c>
      <c r="N124" s="25">
        <v>109</v>
      </c>
      <c r="O124" s="25">
        <f>weekly_deaths_location_cause_and_excess_deaths_home_non_institution[[#This Row],[Circulatory deaths]]-weekly_deaths_location_cause_and_excess_deaths_home_non_institution[[#This Row],[Circulatory five year average]]</f>
        <v>-5</v>
      </c>
      <c r="P124" s="25">
        <v>25</v>
      </c>
      <c r="Q124" s="25">
        <v>35</v>
      </c>
      <c r="R124" s="25">
        <f>weekly_deaths_location_cause_and_excess_deaths_home_non_institution[[#This Row],[Respiratory deaths]]-weekly_deaths_location_cause_and_excess_deaths_home_non_institution[[#This Row],[Respiratory five year average]]</f>
        <v>-10</v>
      </c>
      <c r="S124" s="25">
        <v>0</v>
      </c>
      <c r="T124" s="52">
        <v>89</v>
      </c>
      <c r="U124" s="67">
        <v>85</v>
      </c>
      <c r="V124" s="67">
        <f>weekly_deaths_location_cause_and_excess_deaths_home_non_institution[[#This Row],[Other causes]]-weekly_deaths_location_cause_and_excess_deaths_home_non_institution[[#This Row],[Other causes five year average]]</f>
        <v>4</v>
      </c>
    </row>
    <row r="125" spans="1:23" x14ac:dyDescent="0.35">
      <c r="A125" s="14" t="s">
        <v>85</v>
      </c>
      <c r="B125" s="15">
        <v>5</v>
      </c>
      <c r="C125" s="16">
        <v>43857</v>
      </c>
      <c r="D125" s="57">
        <v>310</v>
      </c>
      <c r="E125" s="2">
        <v>307</v>
      </c>
      <c r="F125" s="2">
        <f>weekly_deaths_location_cause_and_excess_deaths_home_non_institution[[#This Row],[All causes]]-weekly_deaths_location_cause_and_excess_deaths_home_non_institution[[#This Row],[All causes five year average]]</f>
        <v>3</v>
      </c>
      <c r="G125" s="2">
        <v>79</v>
      </c>
      <c r="H125" s="2">
        <v>83</v>
      </c>
      <c r="I125" s="2">
        <f>weekly_deaths_location_cause_and_excess_deaths_home_non_institution[[#This Row],[Cancer deaths]]-weekly_deaths_location_cause_and_excess_deaths_home_non_institution[[#This Row],[Cancer five year average]]</f>
        <v>-4</v>
      </c>
      <c r="J125" s="2">
        <v>13</v>
      </c>
      <c r="K125" s="2">
        <v>9</v>
      </c>
      <c r="L125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25" s="25">
        <v>96</v>
      </c>
      <c r="N125" s="25">
        <v>95</v>
      </c>
      <c r="O125" s="25">
        <f>weekly_deaths_location_cause_and_excess_deaths_home_non_institution[[#This Row],[Circulatory deaths]]-weekly_deaths_location_cause_and_excess_deaths_home_non_institution[[#This Row],[Circulatory five year average]]</f>
        <v>1</v>
      </c>
      <c r="P125" s="25">
        <v>32</v>
      </c>
      <c r="Q125" s="25">
        <v>34</v>
      </c>
      <c r="R125" s="25">
        <f>weekly_deaths_location_cause_and_excess_deaths_home_non_institution[[#This Row],[Respiratory deaths]]-weekly_deaths_location_cause_and_excess_deaths_home_non_institution[[#This Row],[Respiratory five year average]]</f>
        <v>-2</v>
      </c>
      <c r="S125" s="25">
        <v>0</v>
      </c>
      <c r="T125" s="52">
        <v>90</v>
      </c>
      <c r="U125" s="67">
        <v>86</v>
      </c>
      <c r="V125" s="67">
        <f>weekly_deaths_location_cause_and_excess_deaths_home_non_institution[[#This Row],[Other causes]]-weekly_deaths_location_cause_and_excess_deaths_home_non_institution[[#This Row],[Other causes five year average]]</f>
        <v>4</v>
      </c>
    </row>
    <row r="126" spans="1:23" x14ac:dyDescent="0.35">
      <c r="A126" s="14" t="s">
        <v>85</v>
      </c>
      <c r="B126" s="15">
        <v>6</v>
      </c>
      <c r="C126" s="16">
        <v>43864</v>
      </c>
      <c r="D126" s="57">
        <v>319</v>
      </c>
      <c r="E126" s="2">
        <v>321</v>
      </c>
      <c r="F126" s="2">
        <f>weekly_deaths_location_cause_and_excess_deaths_home_non_institution[[#This Row],[All causes]]-weekly_deaths_location_cause_and_excess_deaths_home_non_institution[[#This Row],[All causes five year average]]</f>
        <v>-2</v>
      </c>
      <c r="G126" s="2">
        <v>93</v>
      </c>
      <c r="H126" s="2">
        <v>99</v>
      </c>
      <c r="I126" s="2">
        <f>weekly_deaths_location_cause_and_excess_deaths_home_non_institution[[#This Row],[Cancer deaths]]-weekly_deaths_location_cause_and_excess_deaths_home_non_institution[[#This Row],[Cancer five year average]]</f>
        <v>-6</v>
      </c>
      <c r="J126" s="2">
        <v>10</v>
      </c>
      <c r="K126" s="2">
        <v>11</v>
      </c>
      <c r="L126" s="2">
        <f>weekly_deaths_location_cause_and_excess_deaths_home_non_institution[[#This Row],[Dementia / Alzhemier''s deaths]]-weekly_deaths_location_cause_and_excess_deaths_home_non_institution[[#This Row],[Dementia / Alzheimer''s five year average]]</f>
        <v>-1</v>
      </c>
      <c r="M126" s="25">
        <v>108</v>
      </c>
      <c r="N126" s="25">
        <v>99</v>
      </c>
      <c r="O126" s="25">
        <f>weekly_deaths_location_cause_and_excess_deaths_home_non_institution[[#This Row],[Circulatory deaths]]-weekly_deaths_location_cause_and_excess_deaths_home_non_institution[[#This Row],[Circulatory five year average]]</f>
        <v>9</v>
      </c>
      <c r="P126" s="25">
        <v>24</v>
      </c>
      <c r="Q126" s="25">
        <v>30</v>
      </c>
      <c r="R126" s="25">
        <f>weekly_deaths_location_cause_and_excess_deaths_home_non_institution[[#This Row],[Respiratory deaths]]-weekly_deaths_location_cause_and_excess_deaths_home_non_institution[[#This Row],[Respiratory five year average]]</f>
        <v>-6</v>
      </c>
      <c r="S126" s="25">
        <v>0</v>
      </c>
      <c r="T126" s="52">
        <v>84</v>
      </c>
      <c r="U126" s="67">
        <v>82</v>
      </c>
      <c r="V126" s="67">
        <f>weekly_deaths_location_cause_and_excess_deaths_home_non_institution[[#This Row],[Other causes]]-weekly_deaths_location_cause_and_excess_deaths_home_non_institution[[#This Row],[Other causes five year average]]</f>
        <v>2</v>
      </c>
    </row>
    <row r="127" spans="1:23" x14ac:dyDescent="0.35">
      <c r="A127" s="14" t="s">
        <v>85</v>
      </c>
      <c r="B127" s="15">
        <v>7</v>
      </c>
      <c r="C127" s="16">
        <v>43871</v>
      </c>
      <c r="D127" s="57">
        <v>347</v>
      </c>
      <c r="E127" s="2">
        <v>320</v>
      </c>
      <c r="F127" s="2">
        <f>weekly_deaths_location_cause_and_excess_deaths_home_non_institution[[#This Row],[All causes]]-weekly_deaths_location_cause_and_excess_deaths_home_non_institution[[#This Row],[All causes five year average]]</f>
        <v>27</v>
      </c>
      <c r="G127" s="2">
        <v>111</v>
      </c>
      <c r="H127" s="2">
        <v>106</v>
      </c>
      <c r="I127" s="2">
        <f>weekly_deaths_location_cause_and_excess_deaths_home_non_institution[[#This Row],[Cancer deaths]]-weekly_deaths_location_cause_and_excess_deaths_home_non_institution[[#This Row],[Cancer five year average]]</f>
        <v>5</v>
      </c>
      <c r="J127" s="2">
        <v>6</v>
      </c>
      <c r="K127" s="2">
        <v>12</v>
      </c>
      <c r="L127" s="2">
        <f>weekly_deaths_location_cause_and_excess_deaths_home_non_institution[[#This Row],[Dementia / Alzhemier''s deaths]]-weekly_deaths_location_cause_and_excess_deaths_home_non_institution[[#This Row],[Dementia / Alzheimer''s five year average]]</f>
        <v>-6</v>
      </c>
      <c r="M127" s="25">
        <v>109</v>
      </c>
      <c r="N127" s="25">
        <v>101</v>
      </c>
      <c r="O127" s="25">
        <f>weekly_deaths_location_cause_and_excess_deaths_home_non_institution[[#This Row],[Circulatory deaths]]-weekly_deaths_location_cause_and_excess_deaths_home_non_institution[[#This Row],[Circulatory five year average]]</f>
        <v>8</v>
      </c>
      <c r="P127" s="25">
        <v>24</v>
      </c>
      <c r="Q127" s="25">
        <v>28</v>
      </c>
      <c r="R127" s="25">
        <f>weekly_deaths_location_cause_and_excess_deaths_home_non_institution[[#This Row],[Respiratory deaths]]-weekly_deaths_location_cause_and_excess_deaths_home_non_institution[[#This Row],[Respiratory five year average]]</f>
        <v>-4</v>
      </c>
      <c r="S127" s="25">
        <v>0</v>
      </c>
      <c r="T127" s="52">
        <v>97</v>
      </c>
      <c r="U127" s="67">
        <v>73</v>
      </c>
      <c r="V127" s="67">
        <f>weekly_deaths_location_cause_and_excess_deaths_home_non_institution[[#This Row],[Other causes]]-weekly_deaths_location_cause_and_excess_deaths_home_non_institution[[#This Row],[Other causes five year average]]</f>
        <v>24</v>
      </c>
    </row>
    <row r="128" spans="1:23" x14ac:dyDescent="0.35">
      <c r="A128" s="14" t="s">
        <v>85</v>
      </c>
      <c r="B128" s="15">
        <v>8</v>
      </c>
      <c r="C128" s="16">
        <v>43878</v>
      </c>
      <c r="D128" s="57">
        <v>335</v>
      </c>
      <c r="E128" s="2">
        <v>324</v>
      </c>
      <c r="F128" s="2">
        <f>weekly_deaths_location_cause_and_excess_deaths_home_non_institution[[#This Row],[All causes]]-weekly_deaths_location_cause_and_excess_deaths_home_non_institution[[#This Row],[All causes five year average]]</f>
        <v>11</v>
      </c>
      <c r="G128" s="2">
        <v>101</v>
      </c>
      <c r="H128" s="2">
        <v>101</v>
      </c>
      <c r="I128" s="2">
        <f>weekly_deaths_location_cause_and_excess_deaths_home_non_institution[[#This Row],[Cancer deaths]]-weekly_deaths_location_cause_and_excess_deaths_home_non_institution[[#This Row],[Cancer five year average]]</f>
        <v>0</v>
      </c>
      <c r="J128" s="2">
        <v>16</v>
      </c>
      <c r="K128" s="2">
        <v>12</v>
      </c>
      <c r="L128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28" s="25">
        <v>115</v>
      </c>
      <c r="N128" s="25">
        <v>94</v>
      </c>
      <c r="O128" s="25">
        <f>weekly_deaths_location_cause_and_excess_deaths_home_non_institution[[#This Row],[Circulatory deaths]]-weekly_deaths_location_cause_and_excess_deaths_home_non_institution[[#This Row],[Circulatory five year average]]</f>
        <v>21</v>
      </c>
      <c r="P128" s="25">
        <v>28</v>
      </c>
      <c r="Q128" s="25">
        <v>36</v>
      </c>
      <c r="R128" s="25">
        <f>weekly_deaths_location_cause_and_excess_deaths_home_non_institution[[#This Row],[Respiratory deaths]]-weekly_deaths_location_cause_and_excess_deaths_home_non_institution[[#This Row],[Respiratory five year average]]</f>
        <v>-8</v>
      </c>
      <c r="S128" s="25">
        <v>0</v>
      </c>
      <c r="T128" s="52">
        <v>75</v>
      </c>
      <c r="U128" s="67">
        <v>81</v>
      </c>
      <c r="V128" s="67">
        <f>weekly_deaths_location_cause_and_excess_deaths_home_non_institution[[#This Row],[Other causes]]-weekly_deaths_location_cause_and_excess_deaths_home_non_institution[[#This Row],[Other causes five year average]]</f>
        <v>-6</v>
      </c>
    </row>
    <row r="129" spans="1:22" x14ac:dyDescent="0.35">
      <c r="A129" s="14" t="s">
        <v>85</v>
      </c>
      <c r="B129" s="15">
        <v>9</v>
      </c>
      <c r="C129" s="16">
        <v>43885</v>
      </c>
      <c r="D129" s="57">
        <v>358</v>
      </c>
      <c r="E129" s="2">
        <v>310</v>
      </c>
      <c r="F129" s="2">
        <f>weekly_deaths_location_cause_and_excess_deaths_home_non_institution[[#This Row],[All causes]]-weekly_deaths_location_cause_and_excess_deaths_home_non_institution[[#This Row],[All causes five year average]]</f>
        <v>48</v>
      </c>
      <c r="G129" s="2">
        <v>93</v>
      </c>
      <c r="H129" s="2">
        <v>95</v>
      </c>
      <c r="I129" s="2">
        <f>weekly_deaths_location_cause_and_excess_deaths_home_non_institution[[#This Row],[Cancer deaths]]-weekly_deaths_location_cause_and_excess_deaths_home_non_institution[[#This Row],[Cancer five year average]]</f>
        <v>-2</v>
      </c>
      <c r="J129" s="2">
        <v>8</v>
      </c>
      <c r="K129" s="2">
        <v>12</v>
      </c>
      <c r="L129" s="2">
        <f>weekly_deaths_location_cause_and_excess_deaths_home_non_institution[[#This Row],[Dementia / Alzhemier''s deaths]]-weekly_deaths_location_cause_and_excess_deaths_home_non_institution[[#This Row],[Dementia / Alzheimer''s five year average]]</f>
        <v>-4</v>
      </c>
      <c r="M129" s="25">
        <v>118</v>
      </c>
      <c r="N129" s="25">
        <v>101</v>
      </c>
      <c r="O129" s="25">
        <f>weekly_deaths_location_cause_and_excess_deaths_home_non_institution[[#This Row],[Circulatory deaths]]-weekly_deaths_location_cause_and_excess_deaths_home_non_institution[[#This Row],[Circulatory five year average]]</f>
        <v>17</v>
      </c>
      <c r="P129" s="25">
        <v>32</v>
      </c>
      <c r="Q129" s="25">
        <v>30</v>
      </c>
      <c r="R129" s="25">
        <f>weekly_deaths_location_cause_and_excess_deaths_home_non_institution[[#This Row],[Respiratory deaths]]-weekly_deaths_location_cause_and_excess_deaths_home_non_institution[[#This Row],[Respiratory five year average]]</f>
        <v>2</v>
      </c>
      <c r="S129" s="25">
        <v>0</v>
      </c>
      <c r="T129" s="52">
        <v>107</v>
      </c>
      <c r="U129" s="67">
        <v>72</v>
      </c>
      <c r="V129" s="67">
        <f>weekly_deaths_location_cause_and_excess_deaths_home_non_institution[[#This Row],[Other causes]]-weekly_deaths_location_cause_and_excess_deaths_home_non_institution[[#This Row],[Other causes five year average]]</f>
        <v>35</v>
      </c>
    </row>
    <row r="130" spans="1:22" x14ac:dyDescent="0.35">
      <c r="A130" s="14" t="s">
        <v>85</v>
      </c>
      <c r="B130" s="15">
        <v>10</v>
      </c>
      <c r="C130" s="16">
        <v>43892</v>
      </c>
      <c r="D130" s="57">
        <v>342</v>
      </c>
      <c r="E130" s="2">
        <v>326</v>
      </c>
      <c r="F130" s="2">
        <f>weekly_deaths_location_cause_and_excess_deaths_home_non_institution[[#This Row],[All causes]]-weekly_deaths_location_cause_and_excess_deaths_home_non_institution[[#This Row],[All causes five year average]]</f>
        <v>16</v>
      </c>
      <c r="G130" s="2">
        <v>90</v>
      </c>
      <c r="H130" s="2">
        <v>103</v>
      </c>
      <c r="I130" s="2">
        <f>weekly_deaths_location_cause_and_excess_deaths_home_non_institution[[#This Row],[Cancer deaths]]-weekly_deaths_location_cause_and_excess_deaths_home_non_institution[[#This Row],[Cancer five year average]]</f>
        <v>-13</v>
      </c>
      <c r="J130" s="2">
        <v>23</v>
      </c>
      <c r="K130" s="2">
        <v>10</v>
      </c>
      <c r="L130" s="2">
        <f>weekly_deaths_location_cause_and_excess_deaths_home_non_institution[[#This Row],[Dementia / Alzhemier''s deaths]]-weekly_deaths_location_cause_and_excess_deaths_home_non_institution[[#This Row],[Dementia / Alzheimer''s five year average]]</f>
        <v>13</v>
      </c>
      <c r="M130" s="25">
        <v>102</v>
      </c>
      <c r="N130" s="25">
        <v>102</v>
      </c>
      <c r="O130" s="25">
        <f>weekly_deaths_location_cause_and_excess_deaths_home_non_institution[[#This Row],[Circulatory deaths]]-weekly_deaths_location_cause_and_excess_deaths_home_non_institution[[#This Row],[Circulatory five year average]]</f>
        <v>0</v>
      </c>
      <c r="P130" s="25">
        <v>33</v>
      </c>
      <c r="Q130" s="25">
        <v>29</v>
      </c>
      <c r="R130" s="25">
        <f>weekly_deaths_location_cause_and_excess_deaths_home_non_institution[[#This Row],[Respiratory deaths]]-weekly_deaths_location_cause_and_excess_deaths_home_non_institution[[#This Row],[Respiratory five year average]]</f>
        <v>4</v>
      </c>
      <c r="S130" s="25">
        <v>0</v>
      </c>
      <c r="T130" s="52">
        <v>94</v>
      </c>
      <c r="U130" s="67">
        <v>83</v>
      </c>
      <c r="V130" s="67">
        <f>weekly_deaths_location_cause_and_excess_deaths_home_non_institution[[#This Row],[Other causes]]-weekly_deaths_location_cause_and_excess_deaths_home_non_institution[[#This Row],[Other causes five year average]]</f>
        <v>11</v>
      </c>
    </row>
    <row r="131" spans="1:22" x14ac:dyDescent="0.35">
      <c r="A131" s="14" t="s">
        <v>85</v>
      </c>
      <c r="B131" s="15">
        <v>11</v>
      </c>
      <c r="C131" s="16">
        <v>43899</v>
      </c>
      <c r="D131" s="57">
        <v>358</v>
      </c>
      <c r="E131" s="2">
        <v>297</v>
      </c>
      <c r="F131" s="2">
        <f>weekly_deaths_location_cause_and_excess_deaths_home_non_institution[[#This Row],[All causes]]-weekly_deaths_location_cause_and_excess_deaths_home_non_institution[[#This Row],[All causes five year average]]</f>
        <v>61</v>
      </c>
      <c r="G131" s="2">
        <v>124</v>
      </c>
      <c r="H131" s="2">
        <v>90</v>
      </c>
      <c r="I131" s="2">
        <f>weekly_deaths_location_cause_and_excess_deaths_home_non_institution[[#This Row],[Cancer deaths]]-weekly_deaths_location_cause_and_excess_deaths_home_non_institution[[#This Row],[Cancer five year average]]</f>
        <v>34</v>
      </c>
      <c r="J131" s="2">
        <v>13</v>
      </c>
      <c r="K131" s="2">
        <v>10</v>
      </c>
      <c r="L131" s="2">
        <f>weekly_deaths_location_cause_and_excess_deaths_home_non_institution[[#This Row],[Dementia / Alzhemier''s deaths]]-weekly_deaths_location_cause_and_excess_deaths_home_non_institution[[#This Row],[Dementia / Alzheimer''s five year average]]</f>
        <v>3</v>
      </c>
      <c r="M131" s="25">
        <v>111</v>
      </c>
      <c r="N131" s="25">
        <v>90</v>
      </c>
      <c r="O131" s="25">
        <f>weekly_deaths_location_cause_and_excess_deaths_home_non_institution[[#This Row],[Circulatory deaths]]-weekly_deaths_location_cause_and_excess_deaths_home_non_institution[[#This Row],[Circulatory five year average]]</f>
        <v>21</v>
      </c>
      <c r="P131" s="25">
        <v>26</v>
      </c>
      <c r="Q131" s="25">
        <v>28</v>
      </c>
      <c r="R131" s="25">
        <f>weekly_deaths_location_cause_and_excess_deaths_home_non_institution[[#This Row],[Respiratory deaths]]-weekly_deaths_location_cause_and_excess_deaths_home_non_institution[[#This Row],[Respiratory five year average]]</f>
        <v>-2</v>
      </c>
      <c r="S131" s="25">
        <v>0</v>
      </c>
      <c r="T131" s="52">
        <v>84</v>
      </c>
      <c r="U131" s="67">
        <v>79</v>
      </c>
      <c r="V131" s="67">
        <f>weekly_deaths_location_cause_and_excess_deaths_home_non_institution[[#This Row],[Other causes]]-weekly_deaths_location_cause_and_excess_deaths_home_non_institution[[#This Row],[Other causes five year average]]</f>
        <v>5</v>
      </c>
    </row>
    <row r="132" spans="1:22" x14ac:dyDescent="0.35">
      <c r="A132" s="14" t="s">
        <v>85</v>
      </c>
      <c r="B132" s="15">
        <v>12</v>
      </c>
      <c r="C132" s="16">
        <v>43906</v>
      </c>
      <c r="D132" s="57">
        <v>360</v>
      </c>
      <c r="E132" s="2">
        <v>298</v>
      </c>
      <c r="F132" s="2">
        <f>weekly_deaths_location_cause_and_excess_deaths_home_non_institution[[#This Row],[All causes]]-weekly_deaths_location_cause_and_excess_deaths_home_non_institution[[#This Row],[All causes five year average]]</f>
        <v>62</v>
      </c>
      <c r="G132" s="2">
        <v>113</v>
      </c>
      <c r="H132" s="2">
        <v>89</v>
      </c>
      <c r="I132" s="2">
        <f>weekly_deaths_location_cause_and_excess_deaths_home_non_institution[[#This Row],[Cancer deaths]]-weekly_deaths_location_cause_and_excess_deaths_home_non_institution[[#This Row],[Cancer five year average]]</f>
        <v>24</v>
      </c>
      <c r="J132" s="2">
        <v>17</v>
      </c>
      <c r="K132" s="2">
        <v>12</v>
      </c>
      <c r="L132" s="2">
        <f>weekly_deaths_location_cause_and_excess_deaths_home_non_institution[[#This Row],[Dementia / Alzhemier''s deaths]]-weekly_deaths_location_cause_and_excess_deaths_home_non_institution[[#This Row],[Dementia / Alzheimer''s five year average]]</f>
        <v>5</v>
      </c>
      <c r="M132" s="25">
        <v>100</v>
      </c>
      <c r="N132" s="25">
        <v>91</v>
      </c>
      <c r="O132" s="25">
        <f>weekly_deaths_location_cause_and_excess_deaths_home_non_institution[[#This Row],[Circulatory deaths]]-weekly_deaths_location_cause_and_excess_deaths_home_non_institution[[#This Row],[Circulatory five year average]]</f>
        <v>9</v>
      </c>
      <c r="P132" s="25">
        <v>30</v>
      </c>
      <c r="Q132" s="25">
        <v>30</v>
      </c>
      <c r="R132" s="25">
        <f>weekly_deaths_location_cause_and_excess_deaths_home_non_institution[[#This Row],[Respiratory deaths]]-weekly_deaths_location_cause_and_excess_deaths_home_non_institution[[#This Row],[Respiratory five year average]]</f>
        <v>0</v>
      </c>
      <c r="S132" s="25">
        <v>2</v>
      </c>
      <c r="T132" s="52">
        <v>98</v>
      </c>
      <c r="U132" s="67">
        <v>76</v>
      </c>
      <c r="V132" s="67">
        <f>weekly_deaths_location_cause_and_excess_deaths_home_non_institution[[#This Row],[Other causes]]-weekly_deaths_location_cause_and_excess_deaths_home_non_institution[[#This Row],[Other causes five year average]]</f>
        <v>22</v>
      </c>
    </row>
    <row r="133" spans="1:22" x14ac:dyDescent="0.35">
      <c r="A133" s="14" t="s">
        <v>85</v>
      </c>
      <c r="B133" s="15">
        <v>13</v>
      </c>
      <c r="C133" s="16">
        <v>43913</v>
      </c>
      <c r="D133" s="57">
        <v>347</v>
      </c>
      <c r="E133" s="2">
        <v>308</v>
      </c>
      <c r="F133" s="2">
        <f>weekly_deaths_location_cause_and_excess_deaths_home_non_institution[[#This Row],[All causes]]-weekly_deaths_location_cause_and_excess_deaths_home_non_institution[[#This Row],[All causes five year average]]</f>
        <v>39</v>
      </c>
      <c r="G133" s="2">
        <v>111</v>
      </c>
      <c r="H133" s="2">
        <v>98</v>
      </c>
      <c r="I133" s="2">
        <f>weekly_deaths_location_cause_and_excess_deaths_home_non_institution[[#This Row],[Cancer deaths]]-weekly_deaths_location_cause_and_excess_deaths_home_non_institution[[#This Row],[Cancer five year average]]</f>
        <v>13</v>
      </c>
      <c r="J133" s="2">
        <v>15</v>
      </c>
      <c r="K133" s="2">
        <v>13</v>
      </c>
      <c r="L133" s="2">
        <f>weekly_deaths_location_cause_and_excess_deaths_home_non_institution[[#This Row],[Dementia / Alzhemier''s deaths]]-weekly_deaths_location_cause_and_excess_deaths_home_non_institution[[#This Row],[Dementia / Alzheimer''s five year average]]</f>
        <v>2</v>
      </c>
      <c r="M133" s="25">
        <v>108</v>
      </c>
      <c r="N133" s="25">
        <v>94</v>
      </c>
      <c r="O133" s="25">
        <f>weekly_deaths_location_cause_and_excess_deaths_home_non_institution[[#This Row],[Circulatory deaths]]-weekly_deaths_location_cause_and_excess_deaths_home_non_institution[[#This Row],[Circulatory five year average]]</f>
        <v>14</v>
      </c>
      <c r="P133" s="25">
        <v>18</v>
      </c>
      <c r="Q133" s="25">
        <v>28</v>
      </c>
      <c r="R133" s="25">
        <f>weekly_deaths_location_cause_and_excess_deaths_home_non_institution[[#This Row],[Respiratory deaths]]-weekly_deaths_location_cause_and_excess_deaths_home_non_institution[[#This Row],[Respiratory five year average]]</f>
        <v>-10</v>
      </c>
      <c r="S133" s="25">
        <v>9</v>
      </c>
      <c r="T133" s="52">
        <v>86</v>
      </c>
      <c r="U133" s="67">
        <v>75</v>
      </c>
      <c r="V133" s="67">
        <f>weekly_deaths_location_cause_and_excess_deaths_home_non_institution[[#This Row],[Other causes]]-weekly_deaths_location_cause_and_excess_deaths_home_non_institution[[#This Row],[Other causes five year average]]</f>
        <v>11</v>
      </c>
    </row>
    <row r="134" spans="1:22" x14ac:dyDescent="0.35">
      <c r="A134" s="14" t="s">
        <v>85</v>
      </c>
      <c r="B134" s="15">
        <v>14</v>
      </c>
      <c r="C134" s="16">
        <v>43920</v>
      </c>
      <c r="D134" s="57">
        <v>562</v>
      </c>
      <c r="E134" s="2">
        <v>284</v>
      </c>
      <c r="F134" s="2">
        <f>weekly_deaths_location_cause_and_excess_deaths_home_non_institution[[#This Row],[All causes]]-weekly_deaths_location_cause_and_excess_deaths_home_non_institution[[#This Row],[All causes five year average]]</f>
        <v>278</v>
      </c>
      <c r="G134" s="2">
        <v>175</v>
      </c>
      <c r="H134" s="2">
        <v>89</v>
      </c>
      <c r="I134" s="2">
        <f>weekly_deaths_location_cause_and_excess_deaths_home_non_institution[[#This Row],[Cancer deaths]]-weekly_deaths_location_cause_and_excess_deaths_home_non_institution[[#This Row],[Cancer five year average]]</f>
        <v>86</v>
      </c>
      <c r="J134" s="2">
        <v>26</v>
      </c>
      <c r="K134" s="2">
        <v>9</v>
      </c>
      <c r="L134" s="2">
        <f>weekly_deaths_location_cause_and_excess_deaths_home_non_institution[[#This Row],[Dementia / Alzhemier''s deaths]]-weekly_deaths_location_cause_and_excess_deaths_home_non_institution[[#This Row],[Dementia / Alzheimer''s five year average]]</f>
        <v>17</v>
      </c>
      <c r="M134" s="25">
        <v>140</v>
      </c>
      <c r="N134" s="25">
        <v>88</v>
      </c>
      <c r="O134" s="25">
        <f>weekly_deaths_location_cause_and_excess_deaths_home_non_institution[[#This Row],[Circulatory deaths]]-weekly_deaths_location_cause_and_excess_deaths_home_non_institution[[#This Row],[Circulatory five year average]]</f>
        <v>52</v>
      </c>
      <c r="P134" s="25">
        <v>49</v>
      </c>
      <c r="Q134" s="25">
        <v>25</v>
      </c>
      <c r="R134" s="25">
        <f>weekly_deaths_location_cause_and_excess_deaths_home_non_institution[[#This Row],[Respiratory deaths]]-weekly_deaths_location_cause_and_excess_deaths_home_non_institution[[#This Row],[Respiratory five year average]]</f>
        <v>24</v>
      </c>
      <c r="S134" s="25">
        <v>33</v>
      </c>
      <c r="T134" s="52">
        <v>139</v>
      </c>
      <c r="U134" s="67">
        <v>73</v>
      </c>
      <c r="V134" s="67">
        <f>weekly_deaths_location_cause_and_excess_deaths_home_non_institution[[#This Row],[Other causes]]-weekly_deaths_location_cause_and_excess_deaths_home_non_institution[[#This Row],[Other causes five year average]]</f>
        <v>66</v>
      </c>
    </row>
    <row r="135" spans="1:22" x14ac:dyDescent="0.35">
      <c r="A135" s="14" t="s">
        <v>85</v>
      </c>
      <c r="B135" s="15">
        <v>15</v>
      </c>
      <c r="C135" s="16">
        <v>43927</v>
      </c>
      <c r="D135" s="57">
        <v>583</v>
      </c>
      <c r="E135" s="2">
        <v>291</v>
      </c>
      <c r="F135" s="2">
        <f>weekly_deaths_location_cause_and_excess_deaths_home_non_institution[[#This Row],[All causes]]-weekly_deaths_location_cause_and_excess_deaths_home_non_institution[[#This Row],[All causes five year average]]</f>
        <v>292</v>
      </c>
      <c r="G135" s="2">
        <v>159</v>
      </c>
      <c r="H135" s="2">
        <v>89</v>
      </c>
      <c r="I135" s="2">
        <f>weekly_deaths_location_cause_and_excess_deaths_home_non_institution[[#This Row],[Cancer deaths]]-weekly_deaths_location_cause_and_excess_deaths_home_non_institution[[#This Row],[Cancer five year average]]</f>
        <v>70</v>
      </c>
      <c r="J135" s="2">
        <v>31</v>
      </c>
      <c r="K135" s="2">
        <v>9</v>
      </c>
      <c r="L135" s="2">
        <f>weekly_deaths_location_cause_and_excess_deaths_home_non_institution[[#This Row],[Dementia / Alzhemier''s deaths]]-weekly_deaths_location_cause_and_excess_deaths_home_non_institution[[#This Row],[Dementia / Alzheimer''s five year average]]</f>
        <v>22</v>
      </c>
      <c r="M135" s="25">
        <v>154</v>
      </c>
      <c r="N135" s="25">
        <v>91</v>
      </c>
      <c r="O135" s="25">
        <f>weekly_deaths_location_cause_and_excess_deaths_home_non_institution[[#This Row],[Circulatory deaths]]-weekly_deaths_location_cause_and_excess_deaths_home_non_institution[[#This Row],[Circulatory five year average]]</f>
        <v>63</v>
      </c>
      <c r="P135" s="25">
        <v>44</v>
      </c>
      <c r="Q135" s="25">
        <v>27</v>
      </c>
      <c r="R135" s="25">
        <f>weekly_deaths_location_cause_and_excess_deaths_home_non_institution[[#This Row],[Respiratory deaths]]-weekly_deaths_location_cause_and_excess_deaths_home_non_institution[[#This Row],[Respiratory five year average]]</f>
        <v>17</v>
      </c>
      <c r="S135" s="25">
        <v>55</v>
      </c>
      <c r="T135" s="52">
        <v>140</v>
      </c>
      <c r="U135" s="67">
        <v>74</v>
      </c>
      <c r="V135" s="67">
        <f>weekly_deaths_location_cause_and_excess_deaths_home_non_institution[[#This Row],[Other causes]]-weekly_deaths_location_cause_and_excess_deaths_home_non_institution[[#This Row],[Other causes five year average]]</f>
        <v>66</v>
      </c>
    </row>
    <row r="136" spans="1:22" x14ac:dyDescent="0.35">
      <c r="A136" s="14" t="s">
        <v>85</v>
      </c>
      <c r="B136" s="15">
        <v>16</v>
      </c>
      <c r="C136" s="16">
        <v>43934</v>
      </c>
      <c r="D136" s="57">
        <v>522</v>
      </c>
      <c r="E136" s="2">
        <v>280</v>
      </c>
      <c r="F136" s="2">
        <f>weekly_deaths_location_cause_and_excess_deaths_home_non_institution[[#This Row],[All causes]]-weekly_deaths_location_cause_and_excess_deaths_home_non_institution[[#This Row],[All causes five year average]]</f>
        <v>242</v>
      </c>
      <c r="G136" s="2">
        <v>173</v>
      </c>
      <c r="H136" s="2">
        <v>89</v>
      </c>
      <c r="I136" s="2">
        <f>weekly_deaths_location_cause_and_excess_deaths_home_non_institution[[#This Row],[Cancer deaths]]-weekly_deaths_location_cause_and_excess_deaths_home_non_institution[[#This Row],[Cancer five year average]]</f>
        <v>84</v>
      </c>
      <c r="J136" s="2">
        <v>29</v>
      </c>
      <c r="K136" s="2">
        <v>9</v>
      </c>
      <c r="L136" s="2">
        <f>weekly_deaths_location_cause_and_excess_deaths_home_non_institution[[#This Row],[Dementia / Alzhemier''s deaths]]-weekly_deaths_location_cause_and_excess_deaths_home_non_institution[[#This Row],[Dementia / Alzheimer''s five year average]]</f>
        <v>20</v>
      </c>
      <c r="M136" s="25">
        <v>129</v>
      </c>
      <c r="N136" s="25">
        <v>84</v>
      </c>
      <c r="O136" s="25">
        <f>weekly_deaths_location_cause_and_excess_deaths_home_non_institution[[#This Row],[Circulatory deaths]]-weekly_deaths_location_cause_and_excess_deaths_home_non_institution[[#This Row],[Circulatory five year average]]</f>
        <v>45</v>
      </c>
      <c r="P136" s="25">
        <v>32</v>
      </c>
      <c r="Q136" s="25">
        <v>23</v>
      </c>
      <c r="R136" s="25">
        <f>weekly_deaths_location_cause_and_excess_deaths_home_non_institution[[#This Row],[Respiratory deaths]]-weekly_deaths_location_cause_and_excess_deaths_home_non_institution[[#This Row],[Respiratory five year average]]</f>
        <v>9</v>
      </c>
      <c r="S136" s="25">
        <v>37</v>
      </c>
      <c r="T136" s="52">
        <v>122</v>
      </c>
      <c r="U136" s="67">
        <v>74</v>
      </c>
      <c r="V136" s="67">
        <f>weekly_deaths_location_cause_and_excess_deaths_home_non_institution[[#This Row],[Other causes]]-weekly_deaths_location_cause_and_excess_deaths_home_non_institution[[#This Row],[Other causes five year average]]</f>
        <v>48</v>
      </c>
    </row>
    <row r="137" spans="1:22" x14ac:dyDescent="0.35">
      <c r="A137" s="14" t="s">
        <v>85</v>
      </c>
      <c r="B137" s="15">
        <v>17</v>
      </c>
      <c r="C137" s="16">
        <v>43941</v>
      </c>
      <c r="D137" s="57">
        <v>504</v>
      </c>
      <c r="E137" s="2">
        <v>296</v>
      </c>
      <c r="F137" s="2">
        <f>weekly_deaths_location_cause_and_excess_deaths_home_non_institution[[#This Row],[All causes]]-weekly_deaths_location_cause_and_excess_deaths_home_non_institution[[#This Row],[All causes five year average]]</f>
        <v>208</v>
      </c>
      <c r="G137" s="2">
        <v>150</v>
      </c>
      <c r="H137" s="2">
        <v>98</v>
      </c>
      <c r="I137" s="2">
        <f>weekly_deaths_location_cause_and_excess_deaths_home_non_institution[[#This Row],[Cancer deaths]]-weekly_deaths_location_cause_and_excess_deaths_home_non_institution[[#This Row],[Cancer five year average]]</f>
        <v>52</v>
      </c>
      <c r="J137" s="2">
        <v>27</v>
      </c>
      <c r="K137" s="2">
        <v>8</v>
      </c>
      <c r="L137" s="2">
        <f>weekly_deaths_location_cause_and_excess_deaths_home_non_institution[[#This Row],[Dementia / Alzhemier''s deaths]]-weekly_deaths_location_cause_and_excess_deaths_home_non_institution[[#This Row],[Dementia / Alzheimer''s five year average]]</f>
        <v>19</v>
      </c>
      <c r="M137" s="25">
        <v>140</v>
      </c>
      <c r="N137" s="25">
        <v>86</v>
      </c>
      <c r="O137" s="25">
        <f>weekly_deaths_location_cause_and_excess_deaths_home_non_institution[[#This Row],[Circulatory deaths]]-weekly_deaths_location_cause_and_excess_deaths_home_non_institution[[#This Row],[Circulatory five year average]]</f>
        <v>54</v>
      </c>
      <c r="P137" s="25">
        <v>33</v>
      </c>
      <c r="Q137" s="25">
        <v>25</v>
      </c>
      <c r="R137" s="25">
        <f>weekly_deaths_location_cause_and_excess_deaths_home_non_institution[[#This Row],[Respiratory deaths]]-weekly_deaths_location_cause_and_excess_deaths_home_non_institution[[#This Row],[Respiratory five year average]]</f>
        <v>8</v>
      </c>
      <c r="S137" s="25">
        <v>38</v>
      </c>
      <c r="T137" s="52">
        <v>116</v>
      </c>
      <c r="U137" s="67">
        <v>79</v>
      </c>
      <c r="V137" s="67">
        <f>weekly_deaths_location_cause_and_excess_deaths_home_non_institution[[#This Row],[Other causes]]-weekly_deaths_location_cause_and_excess_deaths_home_non_institution[[#This Row],[Other causes five year average]]</f>
        <v>37</v>
      </c>
    </row>
    <row r="138" spans="1:22" x14ac:dyDescent="0.35">
      <c r="A138" s="14" t="s">
        <v>85</v>
      </c>
      <c r="B138" s="15">
        <v>18</v>
      </c>
      <c r="C138" s="16">
        <v>43948</v>
      </c>
      <c r="D138" s="57">
        <v>503</v>
      </c>
      <c r="E138" s="2">
        <v>288</v>
      </c>
      <c r="F138" s="2">
        <f>weekly_deaths_location_cause_and_excess_deaths_home_non_institution[[#This Row],[All causes]]-weekly_deaths_location_cause_and_excess_deaths_home_non_institution[[#This Row],[All causes five year average]]</f>
        <v>215</v>
      </c>
      <c r="G138" s="2">
        <v>157</v>
      </c>
      <c r="H138" s="2">
        <v>89</v>
      </c>
      <c r="I138" s="2">
        <f>weekly_deaths_location_cause_and_excess_deaths_home_non_institution[[#This Row],[Cancer deaths]]-weekly_deaths_location_cause_and_excess_deaths_home_non_institution[[#This Row],[Cancer five year average]]</f>
        <v>68</v>
      </c>
      <c r="J138" s="2">
        <v>22</v>
      </c>
      <c r="K138" s="2">
        <v>11</v>
      </c>
      <c r="L138" s="2">
        <f>weekly_deaths_location_cause_and_excess_deaths_home_non_institution[[#This Row],[Dementia / Alzhemier''s deaths]]-weekly_deaths_location_cause_and_excess_deaths_home_non_institution[[#This Row],[Dementia / Alzheimer''s five year average]]</f>
        <v>11</v>
      </c>
      <c r="M138" s="25">
        <v>155</v>
      </c>
      <c r="N138" s="25">
        <v>82</v>
      </c>
      <c r="O138" s="25">
        <f>weekly_deaths_location_cause_and_excess_deaths_home_non_institution[[#This Row],[Circulatory deaths]]-weekly_deaths_location_cause_and_excess_deaths_home_non_institution[[#This Row],[Circulatory five year average]]</f>
        <v>73</v>
      </c>
      <c r="P138" s="25">
        <v>38</v>
      </c>
      <c r="Q138" s="25">
        <v>26</v>
      </c>
      <c r="R138" s="25">
        <f>weekly_deaths_location_cause_and_excess_deaths_home_non_institution[[#This Row],[Respiratory deaths]]-weekly_deaths_location_cause_and_excess_deaths_home_non_institution[[#This Row],[Respiratory five year average]]</f>
        <v>12</v>
      </c>
      <c r="S138" s="25">
        <v>16</v>
      </c>
      <c r="T138" s="52">
        <v>115</v>
      </c>
      <c r="U138" s="67">
        <v>80</v>
      </c>
      <c r="V138" s="67">
        <f>weekly_deaths_location_cause_and_excess_deaths_home_non_institution[[#This Row],[Other causes]]-weekly_deaths_location_cause_and_excess_deaths_home_non_institution[[#This Row],[Other causes five year average]]</f>
        <v>35</v>
      </c>
    </row>
    <row r="139" spans="1:22" x14ac:dyDescent="0.35">
      <c r="A139" s="14" t="s">
        <v>85</v>
      </c>
      <c r="B139" s="15">
        <v>19</v>
      </c>
      <c r="C139" s="16">
        <v>43955</v>
      </c>
      <c r="D139" s="57">
        <v>436</v>
      </c>
      <c r="E139" s="2">
        <v>281</v>
      </c>
      <c r="F139" s="2">
        <f>weekly_deaths_location_cause_and_excess_deaths_home_non_institution[[#This Row],[All causes]]-weekly_deaths_location_cause_and_excess_deaths_home_non_institution[[#This Row],[All causes five year average]]</f>
        <v>155</v>
      </c>
      <c r="G139" s="2">
        <v>155</v>
      </c>
      <c r="H139" s="2">
        <v>95</v>
      </c>
      <c r="I139" s="2">
        <f>weekly_deaths_location_cause_and_excess_deaths_home_non_institution[[#This Row],[Cancer deaths]]-weekly_deaths_location_cause_and_excess_deaths_home_non_institution[[#This Row],[Cancer five year average]]</f>
        <v>60</v>
      </c>
      <c r="J139" s="2">
        <v>20</v>
      </c>
      <c r="K139" s="2">
        <v>9</v>
      </c>
      <c r="L139" s="2">
        <f>weekly_deaths_location_cause_and_excess_deaths_home_non_institution[[#This Row],[Dementia / Alzhemier''s deaths]]-weekly_deaths_location_cause_and_excess_deaths_home_non_institution[[#This Row],[Dementia / Alzheimer''s five year average]]</f>
        <v>11</v>
      </c>
      <c r="M139" s="25">
        <v>124</v>
      </c>
      <c r="N139" s="25">
        <v>82</v>
      </c>
      <c r="O139" s="25">
        <f>weekly_deaths_location_cause_and_excess_deaths_home_non_institution[[#This Row],[Circulatory deaths]]-weekly_deaths_location_cause_and_excess_deaths_home_non_institution[[#This Row],[Circulatory five year average]]</f>
        <v>42</v>
      </c>
      <c r="P139" s="25">
        <v>33</v>
      </c>
      <c r="Q139" s="25">
        <v>20</v>
      </c>
      <c r="R139" s="25">
        <f>weekly_deaths_location_cause_and_excess_deaths_home_non_institution[[#This Row],[Respiratory deaths]]-weekly_deaths_location_cause_and_excess_deaths_home_non_institution[[#This Row],[Respiratory five year average]]</f>
        <v>13</v>
      </c>
      <c r="S139" s="25">
        <v>15</v>
      </c>
      <c r="T139" s="52">
        <v>89</v>
      </c>
      <c r="U139" s="67">
        <v>75</v>
      </c>
      <c r="V139" s="67">
        <f>weekly_deaths_location_cause_and_excess_deaths_home_non_institution[[#This Row],[Other causes]]-weekly_deaths_location_cause_and_excess_deaths_home_non_institution[[#This Row],[Other causes five year average]]</f>
        <v>14</v>
      </c>
    </row>
    <row r="140" spans="1:22" x14ac:dyDescent="0.35">
      <c r="A140" s="14" t="s">
        <v>85</v>
      </c>
      <c r="B140" s="15">
        <v>20</v>
      </c>
      <c r="C140" s="16">
        <v>43962</v>
      </c>
      <c r="D140" s="57">
        <v>471</v>
      </c>
      <c r="E140" s="2">
        <v>290</v>
      </c>
      <c r="F140" s="2">
        <f>weekly_deaths_location_cause_and_excess_deaths_home_non_institution[[#This Row],[All causes]]-weekly_deaths_location_cause_and_excess_deaths_home_non_institution[[#This Row],[All causes five year average]]</f>
        <v>181</v>
      </c>
      <c r="G140" s="2">
        <v>180</v>
      </c>
      <c r="H140" s="2">
        <v>97</v>
      </c>
      <c r="I140" s="2">
        <f>weekly_deaths_location_cause_and_excess_deaths_home_non_institution[[#This Row],[Cancer deaths]]-weekly_deaths_location_cause_and_excess_deaths_home_non_institution[[#This Row],[Cancer five year average]]</f>
        <v>83</v>
      </c>
      <c r="J140" s="2">
        <v>14</v>
      </c>
      <c r="K140" s="2">
        <v>8</v>
      </c>
      <c r="L140" s="2">
        <f>weekly_deaths_location_cause_and_excess_deaths_home_non_institution[[#This Row],[Dementia / Alzhemier''s deaths]]-weekly_deaths_location_cause_and_excess_deaths_home_non_institution[[#This Row],[Dementia / Alzheimer''s five year average]]</f>
        <v>6</v>
      </c>
      <c r="M140" s="25">
        <v>119</v>
      </c>
      <c r="N140" s="25">
        <v>84</v>
      </c>
      <c r="O140" s="25">
        <f>weekly_deaths_location_cause_and_excess_deaths_home_non_institution[[#This Row],[Circulatory deaths]]-weekly_deaths_location_cause_and_excess_deaths_home_non_institution[[#This Row],[Circulatory five year average]]</f>
        <v>35</v>
      </c>
      <c r="P140" s="25">
        <v>24</v>
      </c>
      <c r="Q140" s="25">
        <v>22</v>
      </c>
      <c r="R140" s="25">
        <f>weekly_deaths_location_cause_and_excess_deaths_home_non_institution[[#This Row],[Respiratory deaths]]-weekly_deaths_location_cause_and_excess_deaths_home_non_institution[[#This Row],[Respiratory five year average]]</f>
        <v>2</v>
      </c>
      <c r="S140" s="25">
        <v>14</v>
      </c>
      <c r="T140" s="52">
        <v>120</v>
      </c>
      <c r="U140" s="67">
        <v>78</v>
      </c>
      <c r="V140" s="67">
        <f>weekly_deaths_location_cause_and_excess_deaths_home_non_institution[[#This Row],[Other causes]]-weekly_deaths_location_cause_and_excess_deaths_home_non_institution[[#This Row],[Other causes five year average]]</f>
        <v>42</v>
      </c>
    </row>
    <row r="141" spans="1:22" x14ac:dyDescent="0.35">
      <c r="A141" s="14" t="s">
        <v>85</v>
      </c>
      <c r="B141" s="15">
        <v>21</v>
      </c>
      <c r="C141" s="16">
        <v>43969</v>
      </c>
      <c r="D141" s="57">
        <v>443</v>
      </c>
      <c r="E141" s="2">
        <v>280</v>
      </c>
      <c r="F141" s="2">
        <f>weekly_deaths_location_cause_and_excess_deaths_home_non_institution[[#This Row],[All causes]]-weekly_deaths_location_cause_and_excess_deaths_home_non_institution[[#This Row],[All causes five year average]]</f>
        <v>163</v>
      </c>
      <c r="G141" s="2">
        <v>163</v>
      </c>
      <c r="H141" s="2">
        <v>92</v>
      </c>
      <c r="I141" s="2">
        <f>weekly_deaths_location_cause_and_excess_deaths_home_non_institution[[#This Row],[Cancer deaths]]-weekly_deaths_location_cause_and_excess_deaths_home_non_institution[[#This Row],[Cancer five year average]]</f>
        <v>71</v>
      </c>
      <c r="J141" s="2">
        <v>12</v>
      </c>
      <c r="K141" s="2">
        <v>11</v>
      </c>
      <c r="L141" s="2">
        <f>weekly_deaths_location_cause_and_excess_deaths_home_non_institution[[#This Row],[Dementia / Alzhemier''s deaths]]-weekly_deaths_location_cause_and_excess_deaths_home_non_institution[[#This Row],[Dementia / Alzheimer''s five year average]]</f>
        <v>1</v>
      </c>
      <c r="M141" s="25">
        <v>112</v>
      </c>
      <c r="N141" s="25">
        <v>85</v>
      </c>
      <c r="O141" s="25">
        <f>weekly_deaths_location_cause_and_excess_deaths_home_non_institution[[#This Row],[Circulatory deaths]]-weekly_deaths_location_cause_and_excess_deaths_home_non_institution[[#This Row],[Circulatory five year average]]</f>
        <v>27</v>
      </c>
      <c r="P141" s="25">
        <v>35</v>
      </c>
      <c r="Q141" s="25">
        <v>23</v>
      </c>
      <c r="R141" s="25">
        <f>weekly_deaths_location_cause_and_excess_deaths_home_non_institution[[#This Row],[Respiratory deaths]]-weekly_deaths_location_cause_and_excess_deaths_home_non_institution[[#This Row],[Respiratory five year average]]</f>
        <v>12</v>
      </c>
      <c r="S141" s="25">
        <v>7</v>
      </c>
      <c r="T141" s="52">
        <v>114</v>
      </c>
      <c r="U141" s="67">
        <v>69</v>
      </c>
      <c r="V141" s="67">
        <f>weekly_deaths_location_cause_and_excess_deaths_home_non_institution[[#This Row],[Other causes]]-weekly_deaths_location_cause_and_excess_deaths_home_non_institution[[#This Row],[Other causes five year average]]</f>
        <v>45</v>
      </c>
    </row>
    <row r="142" spans="1:22" x14ac:dyDescent="0.35">
      <c r="A142" s="14" t="s">
        <v>85</v>
      </c>
      <c r="B142" s="15">
        <v>22</v>
      </c>
      <c r="C142" s="16">
        <v>43976</v>
      </c>
      <c r="D142" s="57">
        <v>402</v>
      </c>
      <c r="E142" s="2">
        <v>278</v>
      </c>
      <c r="F142" s="2">
        <f>weekly_deaths_location_cause_and_excess_deaths_home_non_institution[[#This Row],[All causes]]-weekly_deaths_location_cause_and_excess_deaths_home_non_institution[[#This Row],[All causes five year average]]</f>
        <v>124</v>
      </c>
      <c r="G142" s="2">
        <v>128</v>
      </c>
      <c r="H142" s="2">
        <v>96</v>
      </c>
      <c r="I142" s="2">
        <f>weekly_deaths_location_cause_and_excess_deaths_home_non_institution[[#This Row],[Cancer deaths]]-weekly_deaths_location_cause_and_excess_deaths_home_non_institution[[#This Row],[Cancer five year average]]</f>
        <v>32</v>
      </c>
      <c r="J142" s="2">
        <v>20</v>
      </c>
      <c r="K142" s="2">
        <v>9</v>
      </c>
      <c r="L142" s="2">
        <f>weekly_deaths_location_cause_and_excess_deaths_home_non_institution[[#This Row],[Dementia / Alzhemier''s deaths]]-weekly_deaths_location_cause_and_excess_deaths_home_non_institution[[#This Row],[Dementia / Alzheimer''s five year average]]</f>
        <v>11</v>
      </c>
      <c r="M142" s="25">
        <v>112</v>
      </c>
      <c r="N142" s="25">
        <v>85</v>
      </c>
      <c r="O142" s="25">
        <f>weekly_deaths_location_cause_and_excess_deaths_home_non_institution[[#This Row],[Circulatory deaths]]-weekly_deaths_location_cause_and_excess_deaths_home_non_institution[[#This Row],[Circulatory five year average]]</f>
        <v>27</v>
      </c>
      <c r="P142" s="25">
        <v>25</v>
      </c>
      <c r="Q142" s="25">
        <v>23</v>
      </c>
      <c r="R142" s="25">
        <f>weekly_deaths_location_cause_and_excess_deaths_home_non_institution[[#This Row],[Respiratory deaths]]-weekly_deaths_location_cause_and_excess_deaths_home_non_institution[[#This Row],[Respiratory five year average]]</f>
        <v>2</v>
      </c>
      <c r="S142" s="25">
        <v>6</v>
      </c>
      <c r="T142" s="52">
        <v>111</v>
      </c>
      <c r="U142" s="67">
        <v>66</v>
      </c>
      <c r="V142" s="67">
        <f>weekly_deaths_location_cause_and_excess_deaths_home_non_institution[[#This Row],[Other causes]]-weekly_deaths_location_cause_and_excess_deaths_home_non_institution[[#This Row],[Other causes five year average]]</f>
        <v>45</v>
      </c>
    </row>
    <row r="143" spans="1:22" x14ac:dyDescent="0.35">
      <c r="A143" s="14" t="s">
        <v>85</v>
      </c>
      <c r="B143" s="15">
        <v>23</v>
      </c>
      <c r="C143" s="16">
        <v>43983</v>
      </c>
      <c r="D143" s="57">
        <v>389</v>
      </c>
      <c r="E143" s="2">
        <v>307</v>
      </c>
      <c r="F143" s="2">
        <f>weekly_deaths_location_cause_and_excess_deaths_home_non_institution[[#This Row],[All causes]]-weekly_deaths_location_cause_and_excess_deaths_home_non_institution[[#This Row],[All causes five year average]]</f>
        <v>82</v>
      </c>
      <c r="G143" s="2">
        <v>146</v>
      </c>
      <c r="H143" s="2">
        <v>96</v>
      </c>
      <c r="I143" s="2">
        <f>weekly_deaths_location_cause_and_excess_deaths_home_non_institution[[#This Row],[Cancer deaths]]-weekly_deaths_location_cause_and_excess_deaths_home_non_institution[[#This Row],[Cancer five year average]]</f>
        <v>50</v>
      </c>
      <c r="J143" s="2">
        <v>10</v>
      </c>
      <c r="K143" s="2">
        <v>10</v>
      </c>
      <c r="L143" s="2">
        <f>weekly_deaths_location_cause_and_excess_deaths_home_non_institution[[#This Row],[Dementia / Alzhemier''s deaths]]-weekly_deaths_location_cause_and_excess_deaths_home_non_institution[[#This Row],[Dementia / Alzheimer''s five year average]]</f>
        <v>0</v>
      </c>
      <c r="M143" s="25">
        <v>110</v>
      </c>
      <c r="N143" s="25">
        <v>95</v>
      </c>
      <c r="O143" s="25">
        <f>weekly_deaths_location_cause_and_excess_deaths_home_non_institution[[#This Row],[Circulatory deaths]]-weekly_deaths_location_cause_and_excess_deaths_home_non_institution[[#This Row],[Circulatory five year average]]</f>
        <v>15</v>
      </c>
      <c r="P143" s="25">
        <v>26</v>
      </c>
      <c r="Q143" s="25">
        <v>24</v>
      </c>
      <c r="R143" s="25">
        <f>weekly_deaths_location_cause_and_excess_deaths_home_non_institution[[#This Row],[Respiratory deaths]]-weekly_deaths_location_cause_and_excess_deaths_home_non_institution[[#This Row],[Respiratory five year average]]</f>
        <v>2</v>
      </c>
      <c r="S143" s="25">
        <v>4</v>
      </c>
      <c r="T143" s="52">
        <v>93</v>
      </c>
      <c r="U143" s="67">
        <v>83</v>
      </c>
      <c r="V143" s="67">
        <f>weekly_deaths_location_cause_and_excess_deaths_home_non_institution[[#This Row],[Other causes]]-weekly_deaths_location_cause_and_excess_deaths_home_non_institution[[#This Row],[Other causes five year average]]</f>
        <v>10</v>
      </c>
    </row>
    <row r="144" spans="1:22" x14ac:dyDescent="0.35">
      <c r="A144" s="14" t="s">
        <v>85</v>
      </c>
      <c r="B144" s="15">
        <v>24</v>
      </c>
      <c r="C144" s="16">
        <v>43990</v>
      </c>
      <c r="D144" s="57">
        <v>407</v>
      </c>
      <c r="E144" s="2">
        <v>289</v>
      </c>
      <c r="F144" s="2">
        <f>weekly_deaths_location_cause_and_excess_deaths_home_non_institution[[#This Row],[All causes]]-weekly_deaths_location_cause_and_excess_deaths_home_non_institution[[#This Row],[All causes five year average]]</f>
        <v>118</v>
      </c>
      <c r="G144" s="2">
        <v>126</v>
      </c>
      <c r="H144" s="2">
        <v>96</v>
      </c>
      <c r="I144" s="2">
        <f>weekly_deaths_location_cause_and_excess_deaths_home_non_institution[[#This Row],[Cancer deaths]]-weekly_deaths_location_cause_and_excess_deaths_home_non_institution[[#This Row],[Cancer five year average]]</f>
        <v>30</v>
      </c>
      <c r="J144" s="2">
        <v>13</v>
      </c>
      <c r="K144" s="2">
        <v>9</v>
      </c>
      <c r="L144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44" s="25">
        <v>125</v>
      </c>
      <c r="N144" s="25">
        <v>86</v>
      </c>
      <c r="O144" s="25">
        <f>weekly_deaths_location_cause_and_excess_deaths_home_non_institution[[#This Row],[Circulatory deaths]]-weekly_deaths_location_cause_and_excess_deaths_home_non_institution[[#This Row],[Circulatory five year average]]</f>
        <v>39</v>
      </c>
      <c r="P144" s="25">
        <v>23</v>
      </c>
      <c r="Q144" s="25">
        <v>20</v>
      </c>
      <c r="R144" s="25">
        <f>weekly_deaths_location_cause_and_excess_deaths_home_non_institution[[#This Row],[Respiratory deaths]]-weekly_deaths_location_cause_and_excess_deaths_home_non_institution[[#This Row],[Respiratory five year average]]</f>
        <v>3</v>
      </c>
      <c r="S144" s="25">
        <v>3</v>
      </c>
      <c r="T144" s="52">
        <v>117</v>
      </c>
      <c r="U144" s="67">
        <v>78</v>
      </c>
      <c r="V144" s="67">
        <f>weekly_deaths_location_cause_and_excess_deaths_home_non_institution[[#This Row],[Other causes]]-weekly_deaths_location_cause_and_excess_deaths_home_non_institution[[#This Row],[Other causes five year average]]</f>
        <v>39</v>
      </c>
    </row>
    <row r="145" spans="1:22" x14ac:dyDescent="0.35">
      <c r="A145" s="14" t="s">
        <v>85</v>
      </c>
      <c r="B145" s="15">
        <v>25</v>
      </c>
      <c r="C145" s="16">
        <v>43997</v>
      </c>
      <c r="D145" s="57">
        <v>391</v>
      </c>
      <c r="E145" s="2">
        <v>277</v>
      </c>
      <c r="F145" s="2">
        <f>weekly_deaths_location_cause_and_excess_deaths_home_non_institution[[#This Row],[All causes]]-weekly_deaths_location_cause_and_excess_deaths_home_non_institution[[#This Row],[All causes five year average]]</f>
        <v>114</v>
      </c>
      <c r="G145" s="2">
        <v>149</v>
      </c>
      <c r="H145" s="2">
        <v>96</v>
      </c>
      <c r="I145" s="2">
        <f>weekly_deaths_location_cause_and_excess_deaths_home_non_institution[[#This Row],[Cancer deaths]]-weekly_deaths_location_cause_and_excess_deaths_home_non_institution[[#This Row],[Cancer five year average]]</f>
        <v>53</v>
      </c>
      <c r="J145" s="2">
        <v>14</v>
      </c>
      <c r="K145" s="2">
        <v>9</v>
      </c>
      <c r="L145" s="2">
        <f>weekly_deaths_location_cause_and_excess_deaths_home_non_institution[[#This Row],[Dementia / Alzhemier''s deaths]]-weekly_deaths_location_cause_and_excess_deaths_home_non_institution[[#This Row],[Dementia / Alzheimer''s five year average]]</f>
        <v>5</v>
      </c>
      <c r="M145" s="25">
        <v>97</v>
      </c>
      <c r="N145" s="25">
        <v>82</v>
      </c>
      <c r="O145" s="25">
        <f>weekly_deaths_location_cause_and_excess_deaths_home_non_institution[[#This Row],[Circulatory deaths]]-weekly_deaths_location_cause_and_excess_deaths_home_non_institution[[#This Row],[Circulatory five year average]]</f>
        <v>15</v>
      </c>
      <c r="P145" s="25">
        <v>24</v>
      </c>
      <c r="Q145" s="25">
        <v>20</v>
      </c>
      <c r="R145" s="25">
        <f>weekly_deaths_location_cause_and_excess_deaths_home_non_institution[[#This Row],[Respiratory deaths]]-weekly_deaths_location_cause_and_excess_deaths_home_non_institution[[#This Row],[Respiratory five year average]]</f>
        <v>4</v>
      </c>
      <c r="S145" s="25">
        <v>1</v>
      </c>
      <c r="T145" s="52">
        <v>106</v>
      </c>
      <c r="U145" s="67">
        <v>69</v>
      </c>
      <c r="V145" s="67">
        <f>weekly_deaths_location_cause_and_excess_deaths_home_non_institution[[#This Row],[Other causes]]-weekly_deaths_location_cause_and_excess_deaths_home_non_institution[[#This Row],[Other causes five year average]]</f>
        <v>37</v>
      </c>
    </row>
    <row r="146" spans="1:22" x14ac:dyDescent="0.35">
      <c r="A146" s="14" t="s">
        <v>85</v>
      </c>
      <c r="B146" s="15">
        <v>26</v>
      </c>
      <c r="C146" s="16">
        <v>44004</v>
      </c>
      <c r="D146" s="57">
        <v>378</v>
      </c>
      <c r="E146" s="2">
        <v>289</v>
      </c>
      <c r="F146" s="2">
        <f>weekly_deaths_location_cause_and_excess_deaths_home_non_institution[[#This Row],[All causes]]-weekly_deaths_location_cause_and_excess_deaths_home_non_institution[[#This Row],[All causes five year average]]</f>
        <v>89</v>
      </c>
      <c r="G146" s="2">
        <v>139</v>
      </c>
      <c r="H146" s="2">
        <v>96</v>
      </c>
      <c r="I146" s="2">
        <f>weekly_deaths_location_cause_and_excess_deaths_home_non_institution[[#This Row],[Cancer deaths]]-weekly_deaths_location_cause_and_excess_deaths_home_non_institution[[#This Row],[Cancer five year average]]</f>
        <v>43</v>
      </c>
      <c r="J146" s="2">
        <v>9</v>
      </c>
      <c r="K146" s="2">
        <v>8</v>
      </c>
      <c r="L146" s="2">
        <f>weekly_deaths_location_cause_and_excess_deaths_home_non_institution[[#This Row],[Dementia / Alzhemier''s deaths]]-weekly_deaths_location_cause_and_excess_deaths_home_non_institution[[#This Row],[Dementia / Alzheimer''s five year average]]</f>
        <v>1</v>
      </c>
      <c r="M146" s="25">
        <v>102</v>
      </c>
      <c r="N146" s="25">
        <v>88</v>
      </c>
      <c r="O146" s="25">
        <f>weekly_deaths_location_cause_and_excess_deaths_home_non_institution[[#This Row],[Circulatory deaths]]-weekly_deaths_location_cause_and_excess_deaths_home_non_institution[[#This Row],[Circulatory five year average]]</f>
        <v>14</v>
      </c>
      <c r="P146" s="25">
        <v>31</v>
      </c>
      <c r="Q146" s="25">
        <v>22</v>
      </c>
      <c r="R146" s="25">
        <f>weekly_deaths_location_cause_and_excess_deaths_home_non_institution[[#This Row],[Respiratory deaths]]-weekly_deaths_location_cause_and_excess_deaths_home_non_institution[[#This Row],[Respiratory five year average]]</f>
        <v>9</v>
      </c>
      <c r="S146" s="25">
        <v>2</v>
      </c>
      <c r="T146" s="52">
        <v>95</v>
      </c>
      <c r="U146" s="67">
        <v>75</v>
      </c>
      <c r="V146" s="67">
        <f>weekly_deaths_location_cause_and_excess_deaths_home_non_institution[[#This Row],[Other causes]]-weekly_deaths_location_cause_and_excess_deaths_home_non_institution[[#This Row],[Other causes five year average]]</f>
        <v>20</v>
      </c>
    </row>
    <row r="147" spans="1:22" x14ac:dyDescent="0.35">
      <c r="A147" s="14" t="s">
        <v>85</v>
      </c>
      <c r="B147" s="15">
        <v>27</v>
      </c>
      <c r="C147" s="16">
        <v>44011</v>
      </c>
      <c r="D147" s="57">
        <v>385</v>
      </c>
      <c r="E147" s="2">
        <v>277</v>
      </c>
      <c r="F147" s="2">
        <f>weekly_deaths_location_cause_and_excess_deaths_home_non_institution[[#This Row],[All causes]]-weekly_deaths_location_cause_and_excess_deaths_home_non_institution[[#This Row],[All causes five year average]]</f>
        <v>108</v>
      </c>
      <c r="G147" s="2">
        <v>141</v>
      </c>
      <c r="H147" s="2">
        <v>94</v>
      </c>
      <c r="I147" s="2">
        <f>weekly_deaths_location_cause_and_excess_deaths_home_non_institution[[#This Row],[Cancer deaths]]-weekly_deaths_location_cause_and_excess_deaths_home_non_institution[[#This Row],[Cancer five year average]]</f>
        <v>47</v>
      </c>
      <c r="J147" s="2">
        <v>13</v>
      </c>
      <c r="K147" s="2">
        <v>10</v>
      </c>
      <c r="L147" s="2">
        <f>weekly_deaths_location_cause_and_excess_deaths_home_non_institution[[#This Row],[Dementia / Alzhemier''s deaths]]-weekly_deaths_location_cause_and_excess_deaths_home_non_institution[[#This Row],[Dementia / Alzheimer''s five year average]]</f>
        <v>3</v>
      </c>
      <c r="M147" s="25">
        <v>106</v>
      </c>
      <c r="N147" s="25">
        <v>83</v>
      </c>
      <c r="O147" s="25">
        <f>weekly_deaths_location_cause_and_excess_deaths_home_non_institution[[#This Row],[Circulatory deaths]]-weekly_deaths_location_cause_and_excess_deaths_home_non_institution[[#This Row],[Circulatory five year average]]</f>
        <v>23</v>
      </c>
      <c r="P147" s="25">
        <v>24</v>
      </c>
      <c r="Q147" s="25">
        <v>21</v>
      </c>
      <c r="R147" s="25">
        <f>weekly_deaths_location_cause_and_excess_deaths_home_non_institution[[#This Row],[Respiratory deaths]]-weekly_deaths_location_cause_and_excess_deaths_home_non_institution[[#This Row],[Respiratory five year average]]</f>
        <v>3</v>
      </c>
      <c r="S147" s="25">
        <v>0</v>
      </c>
      <c r="T147" s="52">
        <v>101</v>
      </c>
      <c r="U147" s="67">
        <v>69</v>
      </c>
      <c r="V147" s="67">
        <f>weekly_deaths_location_cause_and_excess_deaths_home_non_institution[[#This Row],[Other causes]]-weekly_deaths_location_cause_and_excess_deaths_home_non_institution[[#This Row],[Other causes five year average]]</f>
        <v>32</v>
      </c>
    </row>
    <row r="148" spans="1:22" x14ac:dyDescent="0.35">
      <c r="A148" s="14" t="s">
        <v>85</v>
      </c>
      <c r="B148" s="15">
        <v>28</v>
      </c>
      <c r="C148" s="16">
        <v>44018</v>
      </c>
      <c r="D148" s="57">
        <v>374</v>
      </c>
      <c r="E148" s="2">
        <v>280</v>
      </c>
      <c r="F148" s="2">
        <f>weekly_deaths_location_cause_and_excess_deaths_home_non_institution[[#This Row],[All causes]]-weekly_deaths_location_cause_and_excess_deaths_home_non_institution[[#This Row],[All causes five year average]]</f>
        <v>94</v>
      </c>
      <c r="G148" s="2">
        <v>126</v>
      </c>
      <c r="H148" s="2">
        <v>91</v>
      </c>
      <c r="I148" s="2">
        <f>weekly_deaths_location_cause_and_excess_deaths_home_non_institution[[#This Row],[Cancer deaths]]-weekly_deaths_location_cause_and_excess_deaths_home_non_institution[[#This Row],[Cancer five year average]]</f>
        <v>35</v>
      </c>
      <c r="J148" s="2">
        <v>18</v>
      </c>
      <c r="K148" s="2">
        <v>8</v>
      </c>
      <c r="L148" s="2">
        <f>weekly_deaths_location_cause_and_excess_deaths_home_non_institution[[#This Row],[Dementia / Alzhemier''s deaths]]-weekly_deaths_location_cause_and_excess_deaths_home_non_institution[[#This Row],[Dementia / Alzheimer''s five year average]]</f>
        <v>10</v>
      </c>
      <c r="M148" s="25">
        <v>109</v>
      </c>
      <c r="N148" s="25">
        <v>85</v>
      </c>
      <c r="O148" s="25">
        <f>weekly_deaths_location_cause_and_excess_deaths_home_non_institution[[#This Row],[Circulatory deaths]]-weekly_deaths_location_cause_and_excess_deaths_home_non_institution[[#This Row],[Circulatory five year average]]</f>
        <v>24</v>
      </c>
      <c r="P148" s="25">
        <v>22</v>
      </c>
      <c r="Q148" s="25">
        <v>23</v>
      </c>
      <c r="R148" s="25">
        <f>weekly_deaths_location_cause_and_excess_deaths_home_non_institution[[#This Row],[Respiratory deaths]]-weekly_deaths_location_cause_and_excess_deaths_home_non_institution[[#This Row],[Respiratory five year average]]</f>
        <v>-1</v>
      </c>
      <c r="S148" s="25">
        <v>1</v>
      </c>
      <c r="T148" s="52">
        <v>98</v>
      </c>
      <c r="U148" s="67">
        <v>73</v>
      </c>
      <c r="V148" s="67">
        <f>weekly_deaths_location_cause_and_excess_deaths_home_non_institution[[#This Row],[Other causes]]-weekly_deaths_location_cause_and_excess_deaths_home_non_institution[[#This Row],[Other causes five year average]]</f>
        <v>25</v>
      </c>
    </row>
    <row r="149" spans="1:22" x14ac:dyDescent="0.35">
      <c r="A149" s="14" t="s">
        <v>85</v>
      </c>
      <c r="B149" s="15">
        <v>29</v>
      </c>
      <c r="C149" s="16">
        <v>44025</v>
      </c>
      <c r="D149" s="57">
        <v>373</v>
      </c>
      <c r="E149" s="2">
        <v>278</v>
      </c>
      <c r="F149" s="2">
        <f>weekly_deaths_location_cause_and_excess_deaths_home_non_institution[[#This Row],[All causes]]-weekly_deaths_location_cause_and_excess_deaths_home_non_institution[[#This Row],[All causes five year average]]</f>
        <v>95</v>
      </c>
      <c r="G149" s="2">
        <v>139</v>
      </c>
      <c r="H149" s="2">
        <v>96</v>
      </c>
      <c r="I149" s="2">
        <f>weekly_deaths_location_cause_and_excess_deaths_home_non_institution[[#This Row],[Cancer deaths]]-weekly_deaths_location_cause_and_excess_deaths_home_non_institution[[#This Row],[Cancer five year average]]</f>
        <v>43</v>
      </c>
      <c r="J149" s="2">
        <v>12</v>
      </c>
      <c r="K149" s="2">
        <v>8</v>
      </c>
      <c r="L149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49" s="25">
        <v>109</v>
      </c>
      <c r="N149" s="25">
        <v>81</v>
      </c>
      <c r="O149" s="25">
        <f>weekly_deaths_location_cause_and_excess_deaths_home_non_institution[[#This Row],[Circulatory deaths]]-weekly_deaths_location_cause_and_excess_deaths_home_non_institution[[#This Row],[Circulatory five year average]]</f>
        <v>28</v>
      </c>
      <c r="P149" s="25">
        <v>15</v>
      </c>
      <c r="Q149" s="25">
        <v>21</v>
      </c>
      <c r="R149" s="25">
        <f>weekly_deaths_location_cause_and_excess_deaths_home_non_institution[[#This Row],[Respiratory deaths]]-weekly_deaths_location_cause_and_excess_deaths_home_non_institution[[#This Row],[Respiratory five year average]]</f>
        <v>-6</v>
      </c>
      <c r="S149" s="25">
        <v>0</v>
      </c>
      <c r="T149" s="52">
        <v>98</v>
      </c>
      <c r="U149" s="67">
        <v>72</v>
      </c>
      <c r="V149" s="67">
        <f>weekly_deaths_location_cause_and_excess_deaths_home_non_institution[[#This Row],[Other causes]]-weekly_deaths_location_cause_and_excess_deaths_home_non_institution[[#This Row],[Other causes five year average]]</f>
        <v>26</v>
      </c>
    </row>
    <row r="150" spans="1:22" x14ac:dyDescent="0.35">
      <c r="A150" s="14" t="s">
        <v>85</v>
      </c>
      <c r="B150" s="15">
        <v>30</v>
      </c>
      <c r="C150" s="16">
        <v>44032</v>
      </c>
      <c r="D150" s="57">
        <v>369</v>
      </c>
      <c r="E150" s="2">
        <v>267</v>
      </c>
      <c r="F150" s="2">
        <f>weekly_deaths_location_cause_and_excess_deaths_home_non_institution[[#This Row],[All causes]]-weekly_deaths_location_cause_and_excess_deaths_home_non_institution[[#This Row],[All causes five year average]]</f>
        <v>102</v>
      </c>
      <c r="G150" s="2">
        <v>140</v>
      </c>
      <c r="H150" s="2">
        <v>85</v>
      </c>
      <c r="I150" s="2">
        <f>weekly_deaths_location_cause_and_excess_deaths_home_non_institution[[#This Row],[Cancer deaths]]-weekly_deaths_location_cause_and_excess_deaths_home_non_institution[[#This Row],[Cancer five year average]]</f>
        <v>55</v>
      </c>
      <c r="J150" s="2">
        <v>17</v>
      </c>
      <c r="K150" s="2">
        <v>9</v>
      </c>
      <c r="L150" s="2">
        <f>weekly_deaths_location_cause_and_excess_deaths_home_non_institution[[#This Row],[Dementia / Alzhemier''s deaths]]-weekly_deaths_location_cause_and_excess_deaths_home_non_institution[[#This Row],[Dementia / Alzheimer''s five year average]]</f>
        <v>8</v>
      </c>
      <c r="M150" s="25">
        <v>107</v>
      </c>
      <c r="N150" s="25">
        <v>83</v>
      </c>
      <c r="O150" s="25">
        <f>weekly_deaths_location_cause_and_excess_deaths_home_non_institution[[#This Row],[Circulatory deaths]]-weekly_deaths_location_cause_and_excess_deaths_home_non_institution[[#This Row],[Circulatory five year average]]</f>
        <v>24</v>
      </c>
      <c r="P150" s="25">
        <v>19</v>
      </c>
      <c r="Q150" s="25">
        <v>15</v>
      </c>
      <c r="R150" s="25">
        <f>weekly_deaths_location_cause_and_excess_deaths_home_non_institution[[#This Row],[Respiratory deaths]]-weekly_deaths_location_cause_and_excess_deaths_home_non_institution[[#This Row],[Respiratory five year average]]</f>
        <v>4</v>
      </c>
      <c r="S150" s="25">
        <v>1</v>
      </c>
      <c r="T150" s="52">
        <v>85</v>
      </c>
      <c r="U150" s="67">
        <v>75</v>
      </c>
      <c r="V150" s="67">
        <f>weekly_deaths_location_cause_and_excess_deaths_home_non_institution[[#This Row],[Other causes]]-weekly_deaths_location_cause_and_excess_deaths_home_non_institution[[#This Row],[Other causes five year average]]</f>
        <v>10</v>
      </c>
    </row>
    <row r="151" spans="1:22" x14ac:dyDescent="0.35">
      <c r="A151" s="14" t="s">
        <v>85</v>
      </c>
      <c r="B151" s="15">
        <v>31</v>
      </c>
      <c r="C151" s="16">
        <v>44039</v>
      </c>
      <c r="D151" s="57">
        <v>380</v>
      </c>
      <c r="E151" s="2">
        <v>276</v>
      </c>
      <c r="F151" s="2">
        <f>weekly_deaths_location_cause_and_excess_deaths_home_non_institution[[#This Row],[All causes]]-weekly_deaths_location_cause_and_excess_deaths_home_non_institution[[#This Row],[All causes five year average]]</f>
        <v>104</v>
      </c>
      <c r="G151" s="2">
        <v>140</v>
      </c>
      <c r="H151" s="2">
        <v>96</v>
      </c>
      <c r="I151" s="2">
        <f>weekly_deaths_location_cause_and_excess_deaths_home_non_institution[[#This Row],[Cancer deaths]]-weekly_deaths_location_cause_and_excess_deaths_home_non_institution[[#This Row],[Cancer five year average]]</f>
        <v>44</v>
      </c>
      <c r="J151" s="2">
        <v>24</v>
      </c>
      <c r="K151" s="2">
        <v>8</v>
      </c>
      <c r="L151" s="2">
        <f>weekly_deaths_location_cause_and_excess_deaths_home_non_institution[[#This Row],[Dementia / Alzhemier''s deaths]]-weekly_deaths_location_cause_and_excess_deaths_home_non_institution[[#This Row],[Dementia / Alzheimer''s five year average]]</f>
        <v>16</v>
      </c>
      <c r="M151" s="25">
        <v>97</v>
      </c>
      <c r="N151" s="25">
        <v>75</v>
      </c>
      <c r="O151" s="25">
        <f>weekly_deaths_location_cause_and_excess_deaths_home_non_institution[[#This Row],[Circulatory deaths]]-weekly_deaths_location_cause_and_excess_deaths_home_non_institution[[#This Row],[Circulatory five year average]]</f>
        <v>22</v>
      </c>
      <c r="P151" s="25">
        <v>20</v>
      </c>
      <c r="Q151" s="25">
        <v>24</v>
      </c>
      <c r="R151" s="25">
        <f>weekly_deaths_location_cause_and_excess_deaths_home_non_institution[[#This Row],[Respiratory deaths]]-weekly_deaths_location_cause_and_excess_deaths_home_non_institution[[#This Row],[Respiratory five year average]]</f>
        <v>-4</v>
      </c>
      <c r="S151" s="25">
        <v>0</v>
      </c>
      <c r="T151" s="52">
        <v>99</v>
      </c>
      <c r="U151" s="67">
        <v>73</v>
      </c>
      <c r="V151" s="67">
        <f>weekly_deaths_location_cause_and_excess_deaths_home_non_institution[[#This Row],[Other causes]]-weekly_deaths_location_cause_and_excess_deaths_home_non_institution[[#This Row],[Other causes five year average]]</f>
        <v>26</v>
      </c>
    </row>
    <row r="152" spans="1:22" x14ac:dyDescent="0.35">
      <c r="A152" s="14" t="s">
        <v>85</v>
      </c>
      <c r="B152" s="15">
        <v>32</v>
      </c>
      <c r="C152" s="16">
        <v>44046</v>
      </c>
      <c r="D152" s="57">
        <v>373</v>
      </c>
      <c r="E152" s="2">
        <v>286</v>
      </c>
      <c r="F152" s="2">
        <f>weekly_deaths_location_cause_and_excess_deaths_home_non_institution[[#This Row],[All causes]]-weekly_deaths_location_cause_and_excess_deaths_home_non_institution[[#This Row],[All causes five year average]]</f>
        <v>87</v>
      </c>
      <c r="G152" s="2">
        <v>139</v>
      </c>
      <c r="H152" s="2">
        <v>92</v>
      </c>
      <c r="I152" s="2">
        <f>weekly_deaths_location_cause_and_excess_deaths_home_non_institution[[#This Row],[Cancer deaths]]-weekly_deaths_location_cause_and_excess_deaths_home_non_institution[[#This Row],[Cancer five year average]]</f>
        <v>47</v>
      </c>
      <c r="J152" s="2">
        <v>15</v>
      </c>
      <c r="K152" s="2">
        <v>11</v>
      </c>
      <c r="L152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52" s="25">
        <v>110</v>
      </c>
      <c r="N152" s="25">
        <v>79</v>
      </c>
      <c r="O152" s="25">
        <f>weekly_deaths_location_cause_and_excess_deaths_home_non_institution[[#This Row],[Circulatory deaths]]-weekly_deaths_location_cause_and_excess_deaths_home_non_institution[[#This Row],[Circulatory five year average]]</f>
        <v>31</v>
      </c>
      <c r="P152" s="25">
        <v>19</v>
      </c>
      <c r="Q152" s="25">
        <v>22</v>
      </c>
      <c r="R152" s="25">
        <f>weekly_deaths_location_cause_and_excess_deaths_home_non_institution[[#This Row],[Respiratory deaths]]-weekly_deaths_location_cause_and_excess_deaths_home_non_institution[[#This Row],[Respiratory five year average]]</f>
        <v>-3</v>
      </c>
      <c r="S152" s="25">
        <v>0</v>
      </c>
      <c r="T152" s="52">
        <v>90</v>
      </c>
      <c r="U152" s="67">
        <v>82</v>
      </c>
      <c r="V152" s="67">
        <f>weekly_deaths_location_cause_and_excess_deaths_home_non_institution[[#This Row],[Other causes]]-weekly_deaths_location_cause_and_excess_deaths_home_non_institution[[#This Row],[Other causes five year average]]</f>
        <v>8</v>
      </c>
    </row>
    <row r="153" spans="1:22" x14ac:dyDescent="0.35">
      <c r="A153" s="14" t="s">
        <v>85</v>
      </c>
      <c r="B153" s="15">
        <v>33</v>
      </c>
      <c r="C153" s="16">
        <v>44053</v>
      </c>
      <c r="D153" s="57">
        <v>351</v>
      </c>
      <c r="E153" s="2">
        <v>269</v>
      </c>
      <c r="F153" s="2">
        <f>weekly_deaths_location_cause_and_excess_deaths_home_non_institution[[#This Row],[All causes]]-weekly_deaths_location_cause_and_excess_deaths_home_non_institution[[#This Row],[All causes five year average]]</f>
        <v>82</v>
      </c>
      <c r="G153" s="2">
        <v>126</v>
      </c>
      <c r="H153" s="2">
        <v>87</v>
      </c>
      <c r="I153" s="2">
        <f>weekly_deaths_location_cause_and_excess_deaths_home_non_institution[[#This Row],[Cancer deaths]]-weekly_deaths_location_cause_and_excess_deaths_home_non_institution[[#This Row],[Cancer five year average]]</f>
        <v>39</v>
      </c>
      <c r="J153" s="2">
        <v>11</v>
      </c>
      <c r="K153" s="2">
        <v>10</v>
      </c>
      <c r="L153" s="2">
        <f>weekly_deaths_location_cause_and_excess_deaths_home_non_institution[[#This Row],[Dementia / Alzhemier''s deaths]]-weekly_deaths_location_cause_and_excess_deaths_home_non_institution[[#This Row],[Dementia / Alzheimer''s five year average]]</f>
        <v>1</v>
      </c>
      <c r="M153" s="25">
        <v>97</v>
      </c>
      <c r="N153" s="25">
        <v>82</v>
      </c>
      <c r="O153" s="25">
        <f>weekly_deaths_location_cause_and_excess_deaths_home_non_institution[[#This Row],[Circulatory deaths]]-weekly_deaths_location_cause_and_excess_deaths_home_non_institution[[#This Row],[Circulatory five year average]]</f>
        <v>15</v>
      </c>
      <c r="P153" s="25">
        <v>15</v>
      </c>
      <c r="Q153" s="25">
        <v>16</v>
      </c>
      <c r="R153" s="25">
        <f>weekly_deaths_location_cause_and_excess_deaths_home_non_institution[[#This Row],[Respiratory deaths]]-weekly_deaths_location_cause_and_excess_deaths_home_non_institution[[#This Row],[Respiratory five year average]]</f>
        <v>-1</v>
      </c>
      <c r="S153" s="25">
        <v>0</v>
      </c>
      <c r="T153" s="52">
        <v>102</v>
      </c>
      <c r="U153" s="67">
        <v>75</v>
      </c>
      <c r="V153" s="67">
        <f>weekly_deaths_location_cause_and_excess_deaths_home_non_institution[[#This Row],[Other causes]]-weekly_deaths_location_cause_and_excess_deaths_home_non_institution[[#This Row],[Other causes five year average]]</f>
        <v>27</v>
      </c>
    </row>
    <row r="154" spans="1:22" x14ac:dyDescent="0.35">
      <c r="A154" s="14" t="s">
        <v>85</v>
      </c>
      <c r="B154" s="15">
        <v>34</v>
      </c>
      <c r="C154" s="16">
        <v>44060</v>
      </c>
      <c r="D154" s="57">
        <v>364</v>
      </c>
      <c r="E154" s="2">
        <v>279</v>
      </c>
      <c r="F154" s="2">
        <f>weekly_deaths_location_cause_and_excess_deaths_home_non_institution[[#This Row],[All causes]]-weekly_deaths_location_cause_and_excess_deaths_home_non_institution[[#This Row],[All causes five year average]]</f>
        <v>85</v>
      </c>
      <c r="G154" s="2">
        <v>124</v>
      </c>
      <c r="H154" s="2">
        <v>100</v>
      </c>
      <c r="I154" s="2">
        <f>weekly_deaths_location_cause_and_excess_deaths_home_non_institution[[#This Row],[Cancer deaths]]-weekly_deaths_location_cause_and_excess_deaths_home_non_institution[[#This Row],[Cancer five year average]]</f>
        <v>24</v>
      </c>
      <c r="J154" s="2">
        <v>21</v>
      </c>
      <c r="K154" s="2">
        <v>8</v>
      </c>
      <c r="L154" s="2">
        <f>weekly_deaths_location_cause_and_excess_deaths_home_non_institution[[#This Row],[Dementia / Alzhemier''s deaths]]-weekly_deaths_location_cause_and_excess_deaths_home_non_institution[[#This Row],[Dementia / Alzheimer''s five year average]]</f>
        <v>13</v>
      </c>
      <c r="M154" s="25">
        <v>111</v>
      </c>
      <c r="N154" s="25">
        <v>80</v>
      </c>
      <c r="O154" s="25">
        <f>weekly_deaths_location_cause_and_excess_deaths_home_non_institution[[#This Row],[Circulatory deaths]]-weekly_deaths_location_cause_and_excess_deaths_home_non_institution[[#This Row],[Circulatory five year average]]</f>
        <v>31</v>
      </c>
      <c r="P154" s="25">
        <v>21</v>
      </c>
      <c r="Q154" s="25">
        <v>21</v>
      </c>
      <c r="R154" s="25">
        <f>weekly_deaths_location_cause_and_excess_deaths_home_non_institution[[#This Row],[Respiratory deaths]]-weekly_deaths_location_cause_and_excess_deaths_home_non_institution[[#This Row],[Respiratory five year average]]</f>
        <v>0</v>
      </c>
      <c r="S154" s="25">
        <v>0</v>
      </c>
      <c r="T154" s="52">
        <v>87</v>
      </c>
      <c r="U154" s="67">
        <v>70</v>
      </c>
      <c r="V154" s="67">
        <f>weekly_deaths_location_cause_and_excess_deaths_home_non_institution[[#This Row],[Other causes]]-weekly_deaths_location_cause_and_excess_deaths_home_non_institution[[#This Row],[Other causes five year average]]</f>
        <v>17</v>
      </c>
    </row>
    <row r="155" spans="1:22" x14ac:dyDescent="0.35">
      <c r="A155" s="14" t="s">
        <v>85</v>
      </c>
      <c r="B155" s="15">
        <v>35</v>
      </c>
      <c r="C155" s="16">
        <v>44067</v>
      </c>
      <c r="D155" s="57">
        <v>381</v>
      </c>
      <c r="E155" s="2">
        <v>270</v>
      </c>
      <c r="F155" s="2">
        <f>weekly_deaths_location_cause_and_excess_deaths_home_non_institution[[#This Row],[All causes]]-weekly_deaths_location_cause_and_excess_deaths_home_non_institution[[#This Row],[All causes five year average]]</f>
        <v>111</v>
      </c>
      <c r="G155" s="2">
        <v>123</v>
      </c>
      <c r="H155" s="2">
        <v>96</v>
      </c>
      <c r="I155" s="2">
        <f>weekly_deaths_location_cause_and_excess_deaths_home_non_institution[[#This Row],[Cancer deaths]]-weekly_deaths_location_cause_and_excess_deaths_home_non_institution[[#This Row],[Cancer five year average]]</f>
        <v>27</v>
      </c>
      <c r="J155" s="2">
        <v>11</v>
      </c>
      <c r="K155" s="2">
        <v>9</v>
      </c>
      <c r="L155" s="2">
        <f>weekly_deaths_location_cause_and_excess_deaths_home_non_institution[[#This Row],[Dementia / Alzhemier''s deaths]]-weekly_deaths_location_cause_and_excess_deaths_home_non_institution[[#This Row],[Dementia / Alzheimer''s five year average]]</f>
        <v>2</v>
      </c>
      <c r="M155" s="25">
        <v>108</v>
      </c>
      <c r="N155" s="25">
        <v>78</v>
      </c>
      <c r="O155" s="25">
        <f>weekly_deaths_location_cause_and_excess_deaths_home_non_institution[[#This Row],[Circulatory deaths]]-weekly_deaths_location_cause_and_excess_deaths_home_non_institution[[#This Row],[Circulatory five year average]]</f>
        <v>30</v>
      </c>
      <c r="P155" s="25">
        <v>22</v>
      </c>
      <c r="Q155" s="25">
        <v>21</v>
      </c>
      <c r="R155" s="25">
        <f>weekly_deaths_location_cause_and_excess_deaths_home_non_institution[[#This Row],[Respiratory deaths]]-weekly_deaths_location_cause_and_excess_deaths_home_non_institution[[#This Row],[Respiratory five year average]]</f>
        <v>1</v>
      </c>
      <c r="S155" s="25">
        <v>0</v>
      </c>
      <c r="T155" s="52">
        <v>117</v>
      </c>
      <c r="U155" s="67">
        <v>66</v>
      </c>
      <c r="V155" s="67">
        <f>weekly_deaths_location_cause_and_excess_deaths_home_non_institution[[#This Row],[Other causes]]-weekly_deaths_location_cause_and_excess_deaths_home_non_institution[[#This Row],[Other causes five year average]]</f>
        <v>51</v>
      </c>
    </row>
    <row r="156" spans="1:22" x14ac:dyDescent="0.35">
      <c r="A156" s="14" t="s">
        <v>85</v>
      </c>
      <c r="B156" s="15">
        <v>36</v>
      </c>
      <c r="C156" s="16">
        <v>44074</v>
      </c>
      <c r="D156" s="57">
        <v>369</v>
      </c>
      <c r="E156" s="2">
        <v>268</v>
      </c>
      <c r="F156" s="2">
        <f>weekly_deaths_location_cause_and_excess_deaths_home_non_institution[[#This Row],[All causes]]-weekly_deaths_location_cause_and_excess_deaths_home_non_institution[[#This Row],[All causes five year average]]</f>
        <v>101</v>
      </c>
      <c r="G156" s="2">
        <v>137</v>
      </c>
      <c r="H156" s="2">
        <v>85</v>
      </c>
      <c r="I156" s="2">
        <f>weekly_deaths_location_cause_and_excess_deaths_home_non_institution[[#This Row],[Cancer deaths]]-weekly_deaths_location_cause_and_excess_deaths_home_non_institution[[#This Row],[Cancer five year average]]</f>
        <v>52</v>
      </c>
      <c r="J156" s="2">
        <v>9</v>
      </c>
      <c r="K156" s="2">
        <v>8</v>
      </c>
      <c r="L156" s="2">
        <f>weekly_deaths_location_cause_and_excess_deaths_home_non_institution[[#This Row],[Dementia / Alzhemier''s deaths]]-weekly_deaths_location_cause_and_excess_deaths_home_non_institution[[#This Row],[Dementia / Alzheimer''s five year average]]</f>
        <v>1</v>
      </c>
      <c r="M156" s="25">
        <v>94</v>
      </c>
      <c r="N156" s="25">
        <v>76</v>
      </c>
      <c r="O156" s="25">
        <f>weekly_deaths_location_cause_and_excess_deaths_home_non_institution[[#This Row],[Circulatory deaths]]-weekly_deaths_location_cause_and_excess_deaths_home_non_institution[[#This Row],[Circulatory five year average]]</f>
        <v>18</v>
      </c>
      <c r="P156" s="25">
        <v>22</v>
      </c>
      <c r="Q156" s="25">
        <v>23</v>
      </c>
      <c r="R156" s="25">
        <f>weekly_deaths_location_cause_and_excess_deaths_home_non_institution[[#This Row],[Respiratory deaths]]-weekly_deaths_location_cause_and_excess_deaths_home_non_institution[[#This Row],[Respiratory five year average]]</f>
        <v>-1</v>
      </c>
      <c r="S156" s="25">
        <v>0</v>
      </c>
      <c r="T156" s="52">
        <v>107</v>
      </c>
      <c r="U156" s="67">
        <v>76</v>
      </c>
      <c r="V156" s="67">
        <f>weekly_deaths_location_cause_and_excess_deaths_home_non_institution[[#This Row],[Other causes]]-weekly_deaths_location_cause_and_excess_deaths_home_non_institution[[#This Row],[Other causes five year average]]</f>
        <v>31</v>
      </c>
    </row>
    <row r="157" spans="1:22" x14ac:dyDescent="0.35">
      <c r="A157" s="14" t="s">
        <v>85</v>
      </c>
      <c r="B157" s="15">
        <v>37</v>
      </c>
      <c r="C157" s="16">
        <v>44081</v>
      </c>
      <c r="D157" s="57">
        <v>357</v>
      </c>
      <c r="E157" s="2">
        <v>279</v>
      </c>
      <c r="F157" s="2">
        <f>weekly_deaths_location_cause_and_excess_deaths_home_non_institution[[#This Row],[All causes]]-weekly_deaths_location_cause_and_excess_deaths_home_non_institution[[#This Row],[All causes five year average]]</f>
        <v>78</v>
      </c>
      <c r="G157" s="2">
        <v>113</v>
      </c>
      <c r="H157" s="2">
        <v>97</v>
      </c>
      <c r="I157" s="2">
        <f>weekly_deaths_location_cause_and_excess_deaths_home_non_institution[[#This Row],[Cancer deaths]]-weekly_deaths_location_cause_and_excess_deaths_home_non_institution[[#This Row],[Cancer five year average]]</f>
        <v>16</v>
      </c>
      <c r="J157" s="2">
        <v>20</v>
      </c>
      <c r="K157" s="2">
        <v>10</v>
      </c>
      <c r="L157" s="2">
        <f>weekly_deaths_location_cause_and_excess_deaths_home_non_institution[[#This Row],[Dementia / Alzhemier''s deaths]]-weekly_deaths_location_cause_and_excess_deaths_home_non_institution[[#This Row],[Dementia / Alzheimer''s five year average]]</f>
        <v>10</v>
      </c>
      <c r="M157" s="25">
        <v>95</v>
      </c>
      <c r="N157" s="25">
        <v>79</v>
      </c>
      <c r="O157" s="25">
        <f>weekly_deaths_location_cause_and_excess_deaths_home_non_institution[[#This Row],[Circulatory deaths]]-weekly_deaths_location_cause_and_excess_deaths_home_non_institution[[#This Row],[Circulatory five year average]]</f>
        <v>16</v>
      </c>
      <c r="P157" s="25">
        <v>28</v>
      </c>
      <c r="Q157" s="25">
        <v>22</v>
      </c>
      <c r="R157" s="25">
        <f>weekly_deaths_location_cause_and_excess_deaths_home_non_institution[[#This Row],[Respiratory deaths]]-weekly_deaths_location_cause_and_excess_deaths_home_non_institution[[#This Row],[Respiratory five year average]]</f>
        <v>6</v>
      </c>
      <c r="S157" s="25">
        <v>0</v>
      </c>
      <c r="T157" s="52">
        <v>101</v>
      </c>
      <c r="U157" s="67">
        <v>71</v>
      </c>
      <c r="V157" s="67">
        <f>weekly_deaths_location_cause_and_excess_deaths_home_non_institution[[#This Row],[Other causes]]-weekly_deaths_location_cause_and_excess_deaths_home_non_institution[[#This Row],[Other causes five year average]]</f>
        <v>30</v>
      </c>
    </row>
    <row r="158" spans="1:22" x14ac:dyDescent="0.35">
      <c r="A158" s="14" t="s">
        <v>85</v>
      </c>
      <c r="B158" s="15">
        <v>38</v>
      </c>
      <c r="C158" s="16">
        <v>44088</v>
      </c>
      <c r="D158" s="57">
        <v>340</v>
      </c>
      <c r="E158" s="2">
        <v>272</v>
      </c>
      <c r="F158" s="2">
        <f>weekly_deaths_location_cause_and_excess_deaths_home_non_institution[[#This Row],[All causes]]-weekly_deaths_location_cause_and_excess_deaths_home_non_institution[[#This Row],[All causes five year average]]</f>
        <v>68</v>
      </c>
      <c r="G158" s="2">
        <v>120</v>
      </c>
      <c r="H158" s="2">
        <v>89</v>
      </c>
      <c r="I158" s="2">
        <f>weekly_deaths_location_cause_and_excess_deaths_home_non_institution[[#This Row],[Cancer deaths]]-weekly_deaths_location_cause_and_excess_deaths_home_non_institution[[#This Row],[Cancer five year average]]</f>
        <v>31</v>
      </c>
      <c r="J158" s="2">
        <v>17</v>
      </c>
      <c r="K158" s="2">
        <v>11</v>
      </c>
      <c r="L158" s="2">
        <f>weekly_deaths_location_cause_and_excess_deaths_home_non_institution[[#This Row],[Dementia / Alzhemier''s deaths]]-weekly_deaths_location_cause_and_excess_deaths_home_non_institution[[#This Row],[Dementia / Alzheimer''s five year average]]</f>
        <v>6</v>
      </c>
      <c r="M158" s="25">
        <v>95</v>
      </c>
      <c r="N158" s="25">
        <v>79</v>
      </c>
      <c r="O158" s="25">
        <f>weekly_deaths_location_cause_and_excess_deaths_home_non_institution[[#This Row],[Circulatory deaths]]-weekly_deaths_location_cause_and_excess_deaths_home_non_institution[[#This Row],[Circulatory five year average]]</f>
        <v>16</v>
      </c>
      <c r="P158" s="25">
        <v>20</v>
      </c>
      <c r="Q158" s="25">
        <v>21</v>
      </c>
      <c r="R158" s="25">
        <f>weekly_deaths_location_cause_and_excess_deaths_home_non_institution[[#This Row],[Respiratory deaths]]-weekly_deaths_location_cause_and_excess_deaths_home_non_institution[[#This Row],[Respiratory five year average]]</f>
        <v>-1</v>
      </c>
      <c r="S158" s="25">
        <v>0</v>
      </c>
      <c r="T158" s="52">
        <v>88</v>
      </c>
      <c r="U158" s="67">
        <v>72</v>
      </c>
      <c r="V158" s="67">
        <f>weekly_deaths_location_cause_and_excess_deaths_home_non_institution[[#This Row],[Other causes]]-weekly_deaths_location_cause_and_excess_deaths_home_non_institution[[#This Row],[Other causes five year average]]</f>
        <v>16</v>
      </c>
    </row>
    <row r="159" spans="1:22" x14ac:dyDescent="0.35">
      <c r="A159" s="14" t="s">
        <v>85</v>
      </c>
      <c r="B159" s="15">
        <v>39</v>
      </c>
      <c r="C159" s="16">
        <v>44095</v>
      </c>
      <c r="D159" s="57">
        <v>307</v>
      </c>
      <c r="E159" s="2">
        <v>279</v>
      </c>
      <c r="F159" s="2">
        <f>weekly_deaths_location_cause_and_excess_deaths_home_non_institution[[#This Row],[All causes]]-weekly_deaths_location_cause_and_excess_deaths_home_non_institution[[#This Row],[All causes five year average]]</f>
        <v>28</v>
      </c>
      <c r="G159" s="2">
        <v>116</v>
      </c>
      <c r="H159" s="2">
        <v>89</v>
      </c>
      <c r="I159" s="2">
        <f>weekly_deaths_location_cause_and_excess_deaths_home_non_institution[[#This Row],[Cancer deaths]]-weekly_deaths_location_cause_and_excess_deaths_home_non_institution[[#This Row],[Cancer five year average]]</f>
        <v>27</v>
      </c>
      <c r="J159" s="2">
        <v>17</v>
      </c>
      <c r="K159" s="2">
        <v>8</v>
      </c>
      <c r="L159" s="2">
        <f>weekly_deaths_location_cause_and_excess_deaths_home_non_institution[[#This Row],[Dementia / Alzhemier''s deaths]]-weekly_deaths_location_cause_and_excess_deaths_home_non_institution[[#This Row],[Dementia / Alzheimer''s five year average]]</f>
        <v>9</v>
      </c>
      <c r="M159" s="25">
        <v>86</v>
      </c>
      <c r="N159" s="25">
        <v>84</v>
      </c>
      <c r="O159" s="25">
        <f>weekly_deaths_location_cause_and_excess_deaths_home_non_institution[[#This Row],[Circulatory deaths]]-weekly_deaths_location_cause_and_excess_deaths_home_non_institution[[#This Row],[Circulatory five year average]]</f>
        <v>2</v>
      </c>
      <c r="P159" s="25">
        <v>23</v>
      </c>
      <c r="Q159" s="25">
        <v>21</v>
      </c>
      <c r="R159" s="25">
        <f>weekly_deaths_location_cause_and_excess_deaths_home_non_institution[[#This Row],[Respiratory deaths]]-weekly_deaths_location_cause_and_excess_deaths_home_non_institution[[#This Row],[Respiratory five year average]]</f>
        <v>2</v>
      </c>
      <c r="S159" s="25">
        <v>1</v>
      </c>
      <c r="T159" s="52">
        <v>64</v>
      </c>
      <c r="U159" s="67">
        <v>77</v>
      </c>
      <c r="V159" s="67">
        <f>weekly_deaths_location_cause_and_excess_deaths_home_non_institution[[#This Row],[Other causes]]-weekly_deaths_location_cause_and_excess_deaths_home_non_institution[[#This Row],[Other causes five year average]]</f>
        <v>-13</v>
      </c>
    </row>
    <row r="160" spans="1:22" x14ac:dyDescent="0.35">
      <c r="A160" s="14" t="s">
        <v>85</v>
      </c>
      <c r="B160" s="15">
        <v>40</v>
      </c>
      <c r="C160" s="16">
        <v>44102</v>
      </c>
      <c r="D160" s="57">
        <v>403</v>
      </c>
      <c r="E160" s="2">
        <v>287</v>
      </c>
      <c r="F160" s="2">
        <f>weekly_deaths_location_cause_and_excess_deaths_home_non_institution[[#This Row],[All causes]]-weekly_deaths_location_cause_and_excess_deaths_home_non_institution[[#This Row],[All causes five year average]]</f>
        <v>116</v>
      </c>
      <c r="G160" s="2">
        <v>139</v>
      </c>
      <c r="H160" s="2">
        <v>95</v>
      </c>
      <c r="I160" s="2">
        <f>weekly_deaths_location_cause_and_excess_deaths_home_non_institution[[#This Row],[Cancer deaths]]-weekly_deaths_location_cause_and_excess_deaths_home_non_institution[[#This Row],[Cancer five year average]]</f>
        <v>44</v>
      </c>
      <c r="J160" s="2">
        <v>8</v>
      </c>
      <c r="K160" s="2">
        <v>10</v>
      </c>
      <c r="L160" s="2">
        <f>weekly_deaths_location_cause_and_excess_deaths_home_non_institution[[#This Row],[Dementia / Alzhemier''s deaths]]-weekly_deaths_location_cause_and_excess_deaths_home_non_institution[[#This Row],[Dementia / Alzheimer''s five year average]]</f>
        <v>-2</v>
      </c>
      <c r="M160" s="25">
        <v>132</v>
      </c>
      <c r="N160" s="25">
        <v>87</v>
      </c>
      <c r="O160" s="25">
        <f>weekly_deaths_location_cause_and_excess_deaths_home_non_institution[[#This Row],[Circulatory deaths]]-weekly_deaths_location_cause_and_excess_deaths_home_non_institution[[#This Row],[Circulatory five year average]]</f>
        <v>45</v>
      </c>
      <c r="P160" s="25">
        <v>28</v>
      </c>
      <c r="Q160" s="25">
        <v>20</v>
      </c>
      <c r="R160" s="25">
        <f>weekly_deaths_location_cause_and_excess_deaths_home_non_institution[[#This Row],[Respiratory deaths]]-weekly_deaths_location_cause_and_excess_deaths_home_non_institution[[#This Row],[Respiratory five year average]]</f>
        <v>8</v>
      </c>
      <c r="S160" s="25">
        <v>0</v>
      </c>
      <c r="T160" s="52">
        <v>96</v>
      </c>
      <c r="U160" s="67">
        <v>75</v>
      </c>
      <c r="V160" s="67">
        <f>weekly_deaths_location_cause_and_excess_deaths_home_non_institution[[#This Row],[Other causes]]-weekly_deaths_location_cause_and_excess_deaths_home_non_institution[[#This Row],[Other causes five year average]]</f>
        <v>21</v>
      </c>
    </row>
    <row r="161" spans="1:23" x14ac:dyDescent="0.35">
      <c r="A161" s="14" t="s">
        <v>85</v>
      </c>
      <c r="B161" s="15">
        <v>41</v>
      </c>
      <c r="C161" s="16">
        <v>44109</v>
      </c>
      <c r="D161" s="57">
        <v>374</v>
      </c>
      <c r="E161" s="2">
        <v>275</v>
      </c>
      <c r="F161" s="2">
        <f>weekly_deaths_location_cause_and_excess_deaths_home_non_institution[[#This Row],[All causes]]-weekly_deaths_location_cause_and_excess_deaths_home_non_institution[[#This Row],[All causes five year average]]</f>
        <v>99</v>
      </c>
      <c r="G161" s="2">
        <v>132</v>
      </c>
      <c r="H161" s="2">
        <v>98</v>
      </c>
      <c r="I161" s="2">
        <f>weekly_deaths_location_cause_and_excess_deaths_home_non_institution[[#This Row],[Cancer deaths]]-weekly_deaths_location_cause_and_excess_deaths_home_non_institution[[#This Row],[Cancer five year average]]</f>
        <v>34</v>
      </c>
      <c r="J161" s="2">
        <v>18</v>
      </c>
      <c r="K161" s="2">
        <v>9</v>
      </c>
      <c r="L161" s="2">
        <f>weekly_deaths_location_cause_and_excess_deaths_home_non_institution[[#This Row],[Dementia / Alzhemier''s deaths]]-weekly_deaths_location_cause_and_excess_deaths_home_non_institution[[#This Row],[Dementia / Alzheimer''s five year average]]</f>
        <v>9</v>
      </c>
      <c r="M161" s="25">
        <v>113</v>
      </c>
      <c r="N161" s="25">
        <v>83</v>
      </c>
      <c r="O161" s="25">
        <f>weekly_deaths_location_cause_and_excess_deaths_home_non_institution[[#This Row],[Circulatory deaths]]-weekly_deaths_location_cause_and_excess_deaths_home_non_institution[[#This Row],[Circulatory five year average]]</f>
        <v>30</v>
      </c>
      <c r="P161" s="25">
        <v>23</v>
      </c>
      <c r="Q161" s="25">
        <v>17</v>
      </c>
      <c r="R161" s="25">
        <f>weekly_deaths_location_cause_and_excess_deaths_home_non_institution[[#This Row],[Respiratory deaths]]-weekly_deaths_location_cause_and_excess_deaths_home_non_institution[[#This Row],[Respiratory five year average]]</f>
        <v>6</v>
      </c>
      <c r="S161" s="25">
        <v>1</v>
      </c>
      <c r="T161" s="52">
        <v>87</v>
      </c>
      <c r="U161" s="67">
        <v>68</v>
      </c>
      <c r="V161" s="67">
        <f>weekly_deaths_location_cause_and_excess_deaths_home_non_institution[[#This Row],[Other causes]]-weekly_deaths_location_cause_and_excess_deaths_home_non_institution[[#This Row],[Other causes five year average]]</f>
        <v>19</v>
      </c>
    </row>
    <row r="162" spans="1:23" x14ac:dyDescent="0.35">
      <c r="A162" s="14" t="s">
        <v>85</v>
      </c>
      <c r="B162" s="15">
        <v>42</v>
      </c>
      <c r="C162" s="16">
        <v>44116</v>
      </c>
      <c r="D162" s="57">
        <v>344</v>
      </c>
      <c r="E162" s="2">
        <v>292</v>
      </c>
      <c r="F162" s="2">
        <f>weekly_deaths_location_cause_and_excess_deaths_home_non_institution[[#This Row],[All causes]]-weekly_deaths_location_cause_and_excess_deaths_home_non_institution[[#This Row],[All causes five year average]]</f>
        <v>52</v>
      </c>
      <c r="G162" s="2">
        <v>128</v>
      </c>
      <c r="H162" s="2">
        <v>97</v>
      </c>
      <c r="I162" s="2">
        <f>weekly_deaths_location_cause_and_excess_deaths_home_non_institution[[#This Row],[Cancer deaths]]-weekly_deaths_location_cause_and_excess_deaths_home_non_institution[[#This Row],[Cancer five year average]]</f>
        <v>31</v>
      </c>
      <c r="J162" s="2">
        <v>10</v>
      </c>
      <c r="K162" s="2">
        <v>10</v>
      </c>
      <c r="L162" s="2">
        <f>weekly_deaths_location_cause_and_excess_deaths_home_non_institution[[#This Row],[Dementia / Alzhemier''s deaths]]-weekly_deaths_location_cause_and_excess_deaths_home_non_institution[[#This Row],[Dementia / Alzheimer''s five year average]]</f>
        <v>0</v>
      </c>
      <c r="M162" s="25">
        <v>86</v>
      </c>
      <c r="N162" s="25">
        <v>91</v>
      </c>
      <c r="O162" s="25">
        <f>weekly_deaths_location_cause_and_excess_deaths_home_non_institution[[#This Row],[Circulatory deaths]]-weekly_deaths_location_cause_and_excess_deaths_home_non_institution[[#This Row],[Circulatory five year average]]</f>
        <v>-5</v>
      </c>
      <c r="P162" s="25">
        <v>28</v>
      </c>
      <c r="Q162" s="25">
        <v>24</v>
      </c>
      <c r="R162" s="25">
        <f>weekly_deaths_location_cause_and_excess_deaths_home_non_institution[[#This Row],[Respiratory deaths]]-weekly_deaths_location_cause_and_excess_deaths_home_non_institution[[#This Row],[Respiratory five year average]]</f>
        <v>4</v>
      </c>
      <c r="S162" s="25">
        <v>3</v>
      </c>
      <c r="T162" s="52">
        <v>89</v>
      </c>
      <c r="U162" s="67">
        <v>70</v>
      </c>
      <c r="V162" s="67">
        <f>weekly_deaths_location_cause_and_excess_deaths_home_non_institution[[#This Row],[Other causes]]-weekly_deaths_location_cause_and_excess_deaths_home_non_institution[[#This Row],[Other causes five year average]]</f>
        <v>19</v>
      </c>
    </row>
    <row r="163" spans="1:23" x14ac:dyDescent="0.35">
      <c r="A163" s="14" t="s">
        <v>85</v>
      </c>
      <c r="B163" s="15">
        <v>43</v>
      </c>
      <c r="C163" s="16">
        <v>44123</v>
      </c>
      <c r="D163" s="57">
        <v>387</v>
      </c>
      <c r="E163" s="2">
        <v>283</v>
      </c>
      <c r="F163" s="2">
        <f>weekly_deaths_location_cause_and_excess_deaths_home_non_institution[[#This Row],[All causes]]-weekly_deaths_location_cause_and_excess_deaths_home_non_institution[[#This Row],[All causes five year average]]</f>
        <v>104</v>
      </c>
      <c r="G163" s="2">
        <v>133</v>
      </c>
      <c r="H163" s="2">
        <v>91</v>
      </c>
      <c r="I163" s="2">
        <f>weekly_deaths_location_cause_and_excess_deaths_home_non_institution[[#This Row],[Cancer deaths]]-weekly_deaths_location_cause_and_excess_deaths_home_non_institution[[#This Row],[Cancer five year average]]</f>
        <v>42</v>
      </c>
      <c r="J163" s="2">
        <v>11</v>
      </c>
      <c r="K163" s="2">
        <v>7</v>
      </c>
      <c r="L163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63" s="25">
        <v>107</v>
      </c>
      <c r="N163" s="25">
        <v>86</v>
      </c>
      <c r="O163" s="25">
        <f>weekly_deaths_location_cause_and_excess_deaths_home_non_institution[[#This Row],[Circulatory deaths]]-weekly_deaths_location_cause_and_excess_deaths_home_non_institution[[#This Row],[Circulatory five year average]]</f>
        <v>21</v>
      </c>
      <c r="P163" s="25">
        <v>33</v>
      </c>
      <c r="Q163" s="25">
        <v>26</v>
      </c>
      <c r="R163" s="25">
        <f>weekly_deaths_location_cause_and_excess_deaths_home_non_institution[[#This Row],[Respiratory deaths]]-weekly_deaths_location_cause_and_excess_deaths_home_non_institution[[#This Row],[Respiratory five year average]]</f>
        <v>7</v>
      </c>
      <c r="S163" s="25">
        <v>6</v>
      </c>
      <c r="T163" s="52">
        <v>97</v>
      </c>
      <c r="U163" s="67">
        <v>73</v>
      </c>
      <c r="V163" s="67">
        <f>weekly_deaths_location_cause_and_excess_deaths_home_non_institution[[#This Row],[Other causes]]-weekly_deaths_location_cause_and_excess_deaths_home_non_institution[[#This Row],[Other causes five year average]]</f>
        <v>24</v>
      </c>
    </row>
    <row r="164" spans="1:23" x14ac:dyDescent="0.35">
      <c r="A164" s="14" t="s">
        <v>85</v>
      </c>
      <c r="B164" s="15">
        <v>44</v>
      </c>
      <c r="C164" s="16">
        <v>44130</v>
      </c>
      <c r="D164" s="57">
        <v>415</v>
      </c>
      <c r="E164" s="2">
        <v>296</v>
      </c>
      <c r="F164" s="2">
        <f>weekly_deaths_location_cause_and_excess_deaths_home_non_institution[[#This Row],[All causes]]-weekly_deaths_location_cause_and_excess_deaths_home_non_institution[[#This Row],[All causes five year average]]</f>
        <v>119</v>
      </c>
      <c r="G164" s="2">
        <v>144</v>
      </c>
      <c r="H164" s="2">
        <v>100</v>
      </c>
      <c r="I164" s="2">
        <f>weekly_deaths_location_cause_and_excess_deaths_home_non_institution[[#This Row],[Cancer deaths]]-weekly_deaths_location_cause_and_excess_deaths_home_non_institution[[#This Row],[Cancer five year average]]</f>
        <v>44</v>
      </c>
      <c r="J164" s="2">
        <v>18</v>
      </c>
      <c r="K164" s="2">
        <v>11</v>
      </c>
      <c r="L164" s="2">
        <f>weekly_deaths_location_cause_and_excess_deaths_home_non_institution[[#This Row],[Dementia / Alzhemier''s deaths]]-weekly_deaths_location_cause_and_excess_deaths_home_non_institution[[#This Row],[Dementia / Alzheimer''s five year average]]</f>
        <v>7</v>
      </c>
      <c r="M164" s="25">
        <v>131</v>
      </c>
      <c r="N164" s="25">
        <v>88</v>
      </c>
      <c r="O164" s="25">
        <f>weekly_deaths_location_cause_and_excess_deaths_home_non_institution[[#This Row],[Circulatory deaths]]-weekly_deaths_location_cause_and_excess_deaths_home_non_institution[[#This Row],[Circulatory five year average]]</f>
        <v>43</v>
      </c>
      <c r="P164" s="25">
        <v>30</v>
      </c>
      <c r="Q164" s="25">
        <v>24</v>
      </c>
      <c r="R164" s="25">
        <f>weekly_deaths_location_cause_and_excess_deaths_home_non_institution[[#This Row],[Respiratory deaths]]-weekly_deaths_location_cause_and_excess_deaths_home_non_institution[[#This Row],[Respiratory five year average]]</f>
        <v>6</v>
      </c>
      <c r="S164" s="25">
        <v>9</v>
      </c>
      <c r="T164" s="52">
        <v>83</v>
      </c>
      <c r="U164" s="67">
        <v>74</v>
      </c>
      <c r="V164" s="67">
        <f>weekly_deaths_location_cause_and_excess_deaths_home_non_institution[[#This Row],[Other causes]]-weekly_deaths_location_cause_and_excess_deaths_home_non_institution[[#This Row],[Other causes five year average]]</f>
        <v>9</v>
      </c>
    </row>
    <row r="165" spans="1:23" x14ac:dyDescent="0.35">
      <c r="A165" s="14" t="s">
        <v>85</v>
      </c>
      <c r="B165" s="15">
        <v>45</v>
      </c>
      <c r="C165" s="16">
        <v>44137</v>
      </c>
      <c r="D165" s="57">
        <v>409</v>
      </c>
      <c r="E165" s="2">
        <v>296</v>
      </c>
      <c r="F165" s="2">
        <f>weekly_deaths_location_cause_and_excess_deaths_home_non_institution[[#This Row],[All causes]]-weekly_deaths_location_cause_and_excess_deaths_home_non_institution[[#This Row],[All causes five year average]]</f>
        <v>113</v>
      </c>
      <c r="G165" s="2">
        <v>131</v>
      </c>
      <c r="H165" s="2">
        <v>98</v>
      </c>
      <c r="I165" s="2">
        <f>weekly_deaths_location_cause_and_excess_deaths_home_non_institution[[#This Row],[Cancer deaths]]-weekly_deaths_location_cause_and_excess_deaths_home_non_institution[[#This Row],[Cancer five year average]]</f>
        <v>33</v>
      </c>
      <c r="J165" s="2">
        <v>17</v>
      </c>
      <c r="K165" s="2">
        <v>12</v>
      </c>
      <c r="L165" s="2">
        <f>weekly_deaths_location_cause_and_excess_deaths_home_non_institution[[#This Row],[Dementia / Alzhemier''s deaths]]-weekly_deaths_location_cause_and_excess_deaths_home_non_institution[[#This Row],[Dementia / Alzheimer''s five year average]]</f>
        <v>5</v>
      </c>
      <c r="M165" s="25">
        <v>121</v>
      </c>
      <c r="N165" s="25">
        <v>89</v>
      </c>
      <c r="O165" s="25">
        <f>weekly_deaths_location_cause_and_excess_deaths_home_non_institution[[#This Row],[Circulatory deaths]]-weekly_deaths_location_cause_and_excess_deaths_home_non_institution[[#This Row],[Circulatory five year average]]</f>
        <v>32</v>
      </c>
      <c r="P165" s="25">
        <v>21</v>
      </c>
      <c r="Q165" s="25">
        <v>24</v>
      </c>
      <c r="R165" s="25">
        <f>weekly_deaths_location_cause_and_excess_deaths_home_non_institution[[#This Row],[Respiratory deaths]]-weekly_deaths_location_cause_and_excess_deaths_home_non_institution[[#This Row],[Respiratory five year average]]</f>
        <v>-3</v>
      </c>
      <c r="S165" s="25">
        <v>8</v>
      </c>
      <c r="T165" s="52">
        <v>111</v>
      </c>
      <c r="U165" s="67">
        <v>74</v>
      </c>
      <c r="V165" s="67">
        <f>weekly_deaths_location_cause_and_excess_deaths_home_non_institution[[#This Row],[Other causes]]-weekly_deaths_location_cause_and_excess_deaths_home_non_institution[[#This Row],[Other causes five year average]]</f>
        <v>37</v>
      </c>
    </row>
    <row r="166" spans="1:23" x14ac:dyDescent="0.35">
      <c r="A166" s="14" t="s">
        <v>85</v>
      </c>
      <c r="B166" s="15">
        <v>46</v>
      </c>
      <c r="C166" s="16">
        <v>44144</v>
      </c>
      <c r="D166" s="57">
        <v>397</v>
      </c>
      <c r="E166" s="2">
        <v>294</v>
      </c>
      <c r="F166" s="2">
        <f>weekly_deaths_location_cause_and_excess_deaths_home_non_institution[[#This Row],[All causes]]-weekly_deaths_location_cause_and_excess_deaths_home_non_institution[[#This Row],[All causes five year average]]</f>
        <v>103</v>
      </c>
      <c r="G166" s="2">
        <v>134</v>
      </c>
      <c r="H166" s="2">
        <v>94</v>
      </c>
      <c r="I166" s="2">
        <f>weekly_deaths_location_cause_and_excess_deaths_home_non_institution[[#This Row],[Cancer deaths]]-weekly_deaths_location_cause_and_excess_deaths_home_non_institution[[#This Row],[Cancer five year average]]</f>
        <v>40</v>
      </c>
      <c r="J166" s="2">
        <v>13</v>
      </c>
      <c r="K166" s="2">
        <v>9</v>
      </c>
      <c r="L166" s="2">
        <f>weekly_deaths_location_cause_and_excess_deaths_home_non_institution[[#This Row],[Dementia / Alzhemier''s deaths]]-weekly_deaths_location_cause_and_excess_deaths_home_non_institution[[#This Row],[Dementia / Alzheimer''s five year average]]</f>
        <v>4</v>
      </c>
      <c r="M166" s="25">
        <v>127</v>
      </c>
      <c r="N166" s="25">
        <v>93</v>
      </c>
      <c r="O166" s="25">
        <f>weekly_deaths_location_cause_and_excess_deaths_home_non_institution[[#This Row],[Circulatory deaths]]-weekly_deaths_location_cause_and_excess_deaths_home_non_institution[[#This Row],[Circulatory five year average]]</f>
        <v>34</v>
      </c>
      <c r="P166" s="25">
        <v>24</v>
      </c>
      <c r="Q166" s="25">
        <v>23</v>
      </c>
      <c r="R166" s="25">
        <f>weekly_deaths_location_cause_and_excess_deaths_home_non_institution[[#This Row],[Respiratory deaths]]-weekly_deaths_location_cause_and_excess_deaths_home_non_institution[[#This Row],[Respiratory five year average]]</f>
        <v>1</v>
      </c>
      <c r="S166" s="25">
        <v>8</v>
      </c>
      <c r="T166" s="52">
        <v>91</v>
      </c>
      <c r="U166" s="67">
        <v>76</v>
      </c>
      <c r="V166" s="67">
        <f>weekly_deaths_location_cause_and_excess_deaths_home_non_institution[[#This Row],[Other causes]]-weekly_deaths_location_cause_and_excess_deaths_home_non_institution[[#This Row],[Other causes five year average]]</f>
        <v>15</v>
      </c>
    </row>
    <row r="167" spans="1:23" x14ac:dyDescent="0.35">
      <c r="A167" s="14" t="s">
        <v>85</v>
      </c>
      <c r="B167" s="15">
        <v>47</v>
      </c>
      <c r="C167" s="16">
        <v>44151</v>
      </c>
      <c r="D167" s="57">
        <v>426</v>
      </c>
      <c r="E167" s="2">
        <v>308</v>
      </c>
      <c r="F167" s="2">
        <f>weekly_deaths_location_cause_and_excess_deaths_home_non_institution[[#This Row],[All causes]]-weekly_deaths_location_cause_and_excess_deaths_home_non_institution[[#This Row],[All causes five year average]]</f>
        <v>118</v>
      </c>
      <c r="G167" s="2">
        <v>130</v>
      </c>
      <c r="H167" s="2">
        <v>97</v>
      </c>
      <c r="I167" s="2">
        <f>weekly_deaths_location_cause_and_excess_deaths_home_non_institution[[#This Row],[Cancer deaths]]-weekly_deaths_location_cause_and_excess_deaths_home_non_institution[[#This Row],[Cancer five year average]]</f>
        <v>33</v>
      </c>
      <c r="J167" s="2">
        <v>23</v>
      </c>
      <c r="K167" s="2">
        <v>9</v>
      </c>
      <c r="L167" s="2">
        <f>weekly_deaths_location_cause_and_excess_deaths_home_non_institution[[#This Row],[Dementia / Alzhemier''s deaths]]-weekly_deaths_location_cause_and_excess_deaths_home_non_institution[[#This Row],[Dementia / Alzheimer''s five year average]]</f>
        <v>14</v>
      </c>
      <c r="M167" s="25">
        <v>126</v>
      </c>
      <c r="N167" s="25">
        <v>93</v>
      </c>
      <c r="O167" s="25">
        <f>weekly_deaths_location_cause_and_excess_deaths_home_non_institution[[#This Row],[Circulatory deaths]]-weekly_deaths_location_cause_and_excess_deaths_home_non_institution[[#This Row],[Circulatory five year average]]</f>
        <v>33</v>
      </c>
      <c r="P167" s="25">
        <v>38</v>
      </c>
      <c r="Q167" s="25">
        <v>28</v>
      </c>
      <c r="R167" s="25">
        <f>weekly_deaths_location_cause_and_excess_deaths_home_non_institution[[#This Row],[Respiratory deaths]]-weekly_deaths_location_cause_and_excess_deaths_home_non_institution[[#This Row],[Respiratory five year average]]</f>
        <v>10</v>
      </c>
      <c r="S167" s="25">
        <v>15</v>
      </c>
      <c r="T167" s="52">
        <v>94</v>
      </c>
      <c r="U167" s="67">
        <v>80</v>
      </c>
      <c r="V167" s="67">
        <f>weekly_deaths_location_cause_and_excess_deaths_home_non_institution[[#This Row],[Other causes]]-weekly_deaths_location_cause_and_excess_deaths_home_non_institution[[#This Row],[Other causes five year average]]</f>
        <v>14</v>
      </c>
    </row>
    <row r="168" spans="1:23" x14ac:dyDescent="0.35">
      <c r="A168" s="14" t="s">
        <v>85</v>
      </c>
      <c r="B168" s="15">
        <v>48</v>
      </c>
      <c r="C168" s="16">
        <v>44158</v>
      </c>
      <c r="D168" s="57">
        <v>412</v>
      </c>
      <c r="E168" s="2">
        <v>311</v>
      </c>
      <c r="F168" s="2">
        <f>weekly_deaths_location_cause_and_excess_deaths_home_non_institution[[#This Row],[All causes]]-weekly_deaths_location_cause_and_excess_deaths_home_non_institution[[#This Row],[All causes five year average]]</f>
        <v>101</v>
      </c>
      <c r="G168" s="2">
        <v>140</v>
      </c>
      <c r="H168" s="2">
        <v>96</v>
      </c>
      <c r="I168" s="2">
        <f>weekly_deaths_location_cause_and_excess_deaths_home_non_institution[[#This Row],[Cancer deaths]]-weekly_deaths_location_cause_and_excess_deaths_home_non_institution[[#This Row],[Cancer five year average]]</f>
        <v>44</v>
      </c>
      <c r="J168" s="2">
        <v>17</v>
      </c>
      <c r="K168" s="2">
        <v>10</v>
      </c>
      <c r="L168" s="2">
        <f>weekly_deaths_location_cause_and_excess_deaths_home_non_institution[[#This Row],[Dementia / Alzhemier''s deaths]]-weekly_deaths_location_cause_and_excess_deaths_home_non_institution[[#This Row],[Dementia / Alzheimer''s five year average]]</f>
        <v>7</v>
      </c>
      <c r="M168" s="25">
        <v>123</v>
      </c>
      <c r="N168" s="25">
        <v>105</v>
      </c>
      <c r="O168" s="25">
        <f>weekly_deaths_location_cause_and_excess_deaths_home_non_institution[[#This Row],[Circulatory deaths]]-weekly_deaths_location_cause_and_excess_deaths_home_non_institution[[#This Row],[Circulatory five year average]]</f>
        <v>18</v>
      </c>
      <c r="P168" s="25">
        <v>22</v>
      </c>
      <c r="Q168" s="25">
        <v>25</v>
      </c>
      <c r="R168" s="25">
        <f>weekly_deaths_location_cause_and_excess_deaths_home_non_institution[[#This Row],[Respiratory deaths]]-weekly_deaths_location_cause_and_excess_deaths_home_non_institution[[#This Row],[Respiratory five year average]]</f>
        <v>-3</v>
      </c>
      <c r="S168" s="25">
        <v>9</v>
      </c>
      <c r="T168" s="52">
        <v>101</v>
      </c>
      <c r="U168" s="67">
        <v>75</v>
      </c>
      <c r="V168" s="67">
        <f>weekly_deaths_location_cause_and_excess_deaths_home_non_institution[[#This Row],[Other causes]]-weekly_deaths_location_cause_and_excess_deaths_home_non_institution[[#This Row],[Other causes five year average]]</f>
        <v>26</v>
      </c>
    </row>
    <row r="169" spans="1:23" x14ac:dyDescent="0.35">
      <c r="A169" s="14" t="s">
        <v>85</v>
      </c>
      <c r="B169" s="15">
        <v>49</v>
      </c>
      <c r="C169" s="16">
        <v>44165</v>
      </c>
      <c r="D169" s="57">
        <v>414</v>
      </c>
      <c r="E169" s="2">
        <v>311</v>
      </c>
      <c r="F169" s="2">
        <f>weekly_deaths_location_cause_and_excess_deaths_home_non_institution[[#This Row],[All causes]]-weekly_deaths_location_cause_and_excess_deaths_home_non_institution[[#This Row],[All causes five year average]]</f>
        <v>103</v>
      </c>
      <c r="G169" s="2">
        <v>148</v>
      </c>
      <c r="H169" s="2">
        <v>99</v>
      </c>
      <c r="I169" s="2">
        <f>weekly_deaths_location_cause_and_excess_deaths_home_non_institution[[#This Row],[Cancer deaths]]-weekly_deaths_location_cause_and_excess_deaths_home_non_institution[[#This Row],[Cancer five year average]]</f>
        <v>49</v>
      </c>
      <c r="J169" s="2">
        <v>22</v>
      </c>
      <c r="K169" s="2">
        <v>12</v>
      </c>
      <c r="L169" s="2">
        <f>weekly_deaths_location_cause_and_excess_deaths_home_non_institution[[#This Row],[Dementia / Alzhemier''s deaths]]-weekly_deaths_location_cause_and_excess_deaths_home_non_institution[[#This Row],[Dementia / Alzheimer''s five year average]]</f>
        <v>10</v>
      </c>
      <c r="M169" s="25">
        <v>118</v>
      </c>
      <c r="N169" s="25">
        <v>94</v>
      </c>
      <c r="O169" s="25">
        <f>weekly_deaths_location_cause_and_excess_deaths_home_non_institution[[#This Row],[Circulatory deaths]]-weekly_deaths_location_cause_and_excess_deaths_home_non_institution[[#This Row],[Circulatory five year average]]</f>
        <v>24</v>
      </c>
      <c r="P169" s="25">
        <v>29</v>
      </c>
      <c r="Q169" s="25">
        <v>28</v>
      </c>
      <c r="R169" s="25">
        <f>weekly_deaths_location_cause_and_excess_deaths_home_non_institution[[#This Row],[Respiratory deaths]]-weekly_deaths_location_cause_and_excess_deaths_home_non_institution[[#This Row],[Respiratory five year average]]</f>
        <v>1</v>
      </c>
      <c r="S169" s="25">
        <v>6</v>
      </c>
      <c r="T169" s="52">
        <v>91</v>
      </c>
      <c r="U169" s="67">
        <v>77</v>
      </c>
      <c r="V169" s="67">
        <f>weekly_deaths_location_cause_and_excess_deaths_home_non_institution[[#This Row],[Other causes]]-weekly_deaths_location_cause_and_excess_deaths_home_non_institution[[#This Row],[Other causes five year average]]</f>
        <v>14</v>
      </c>
    </row>
    <row r="170" spans="1:23" x14ac:dyDescent="0.35">
      <c r="A170" s="14" t="s">
        <v>85</v>
      </c>
      <c r="B170" s="15">
        <v>50</v>
      </c>
      <c r="C170" s="16">
        <v>44172</v>
      </c>
      <c r="D170" s="57">
        <v>385</v>
      </c>
      <c r="E170" s="2">
        <v>320</v>
      </c>
      <c r="F170" s="2">
        <f>weekly_deaths_location_cause_and_excess_deaths_home_non_institution[[#This Row],[All causes]]-weekly_deaths_location_cause_and_excess_deaths_home_non_institution[[#This Row],[All causes five year average]]</f>
        <v>65</v>
      </c>
      <c r="G170" s="2">
        <v>138</v>
      </c>
      <c r="H170" s="2">
        <v>96</v>
      </c>
      <c r="I170" s="2">
        <f>weekly_deaths_location_cause_and_excess_deaths_home_non_institution[[#This Row],[Cancer deaths]]-weekly_deaths_location_cause_and_excess_deaths_home_non_institution[[#This Row],[Cancer five year average]]</f>
        <v>42</v>
      </c>
      <c r="J170" s="2">
        <v>18</v>
      </c>
      <c r="K170" s="2">
        <v>8</v>
      </c>
      <c r="L170" s="2">
        <f>weekly_deaths_location_cause_and_excess_deaths_home_non_institution[[#This Row],[Dementia / Alzhemier''s deaths]]-weekly_deaths_location_cause_and_excess_deaths_home_non_institution[[#This Row],[Dementia / Alzheimer''s five year average]]</f>
        <v>10</v>
      </c>
      <c r="M170" s="25">
        <v>110</v>
      </c>
      <c r="N170" s="25">
        <v>104</v>
      </c>
      <c r="O170" s="25">
        <f>weekly_deaths_location_cause_and_excess_deaths_home_non_institution[[#This Row],[Circulatory deaths]]-weekly_deaths_location_cause_and_excess_deaths_home_non_institution[[#This Row],[Circulatory five year average]]</f>
        <v>6</v>
      </c>
      <c r="P170" s="25">
        <v>12</v>
      </c>
      <c r="Q170" s="25">
        <v>34</v>
      </c>
      <c r="R170" s="25">
        <f>weekly_deaths_location_cause_and_excess_deaths_home_non_institution[[#This Row],[Respiratory deaths]]-weekly_deaths_location_cause_and_excess_deaths_home_non_institution[[#This Row],[Respiratory five year average]]</f>
        <v>-22</v>
      </c>
      <c r="S170" s="25">
        <v>4</v>
      </c>
      <c r="T170" s="52">
        <v>103</v>
      </c>
      <c r="U170" s="67">
        <v>78</v>
      </c>
      <c r="V170" s="67">
        <f>weekly_deaths_location_cause_and_excess_deaths_home_non_institution[[#This Row],[Other causes]]-weekly_deaths_location_cause_and_excess_deaths_home_non_institution[[#This Row],[Other causes five year average]]</f>
        <v>25</v>
      </c>
    </row>
    <row r="171" spans="1:23" x14ac:dyDescent="0.35">
      <c r="A171" s="14" t="s">
        <v>85</v>
      </c>
      <c r="B171" s="15">
        <v>51</v>
      </c>
      <c r="C171" s="16">
        <v>44179</v>
      </c>
      <c r="D171" s="57">
        <v>416</v>
      </c>
      <c r="E171" s="2">
        <v>341</v>
      </c>
      <c r="F171" s="2">
        <f>weekly_deaths_location_cause_and_excess_deaths_home_non_institution[[#This Row],[All causes]]-weekly_deaths_location_cause_and_excess_deaths_home_non_institution[[#This Row],[All causes five year average]]</f>
        <v>75</v>
      </c>
      <c r="G171" s="2">
        <v>135</v>
      </c>
      <c r="H171" s="2">
        <v>101</v>
      </c>
      <c r="I171" s="2">
        <f>weekly_deaths_location_cause_and_excess_deaths_home_non_institution[[#This Row],[Cancer deaths]]-weekly_deaths_location_cause_and_excess_deaths_home_non_institution[[#This Row],[Cancer five year average]]</f>
        <v>34</v>
      </c>
      <c r="J171" s="2">
        <v>23</v>
      </c>
      <c r="K171" s="2">
        <v>14</v>
      </c>
      <c r="L171" s="2">
        <f>weekly_deaths_location_cause_and_excess_deaths_home_non_institution[[#This Row],[Dementia / Alzhemier''s deaths]]-weekly_deaths_location_cause_and_excess_deaths_home_non_institution[[#This Row],[Dementia / Alzheimer''s five year average]]</f>
        <v>9</v>
      </c>
      <c r="M171" s="25">
        <v>117</v>
      </c>
      <c r="N171" s="25">
        <v>117</v>
      </c>
      <c r="O171" s="25">
        <f>weekly_deaths_location_cause_and_excess_deaths_home_non_institution[[#This Row],[Circulatory deaths]]-weekly_deaths_location_cause_and_excess_deaths_home_non_institution[[#This Row],[Circulatory five year average]]</f>
        <v>0</v>
      </c>
      <c r="P171" s="25">
        <v>31</v>
      </c>
      <c r="Q171" s="25">
        <v>30</v>
      </c>
      <c r="R171" s="25">
        <f>weekly_deaths_location_cause_and_excess_deaths_home_non_institution[[#This Row],[Respiratory deaths]]-weekly_deaths_location_cause_and_excess_deaths_home_non_institution[[#This Row],[Respiratory five year average]]</f>
        <v>1</v>
      </c>
      <c r="S171" s="25">
        <v>4</v>
      </c>
      <c r="T171" s="52">
        <v>106</v>
      </c>
      <c r="U171" s="67">
        <v>79</v>
      </c>
      <c r="V171" s="67">
        <f>weekly_deaths_location_cause_and_excess_deaths_home_non_institution[[#This Row],[Other causes]]-weekly_deaths_location_cause_and_excess_deaths_home_non_institution[[#This Row],[Other causes five year average]]</f>
        <v>27</v>
      </c>
    </row>
    <row r="172" spans="1:23" x14ac:dyDescent="0.35">
      <c r="A172" s="14" t="s">
        <v>85</v>
      </c>
      <c r="B172" s="15">
        <v>52</v>
      </c>
      <c r="C172" s="16">
        <v>44186</v>
      </c>
      <c r="D172" s="57">
        <v>361</v>
      </c>
      <c r="E172" s="2">
        <v>250</v>
      </c>
      <c r="F172" s="2">
        <f>weekly_deaths_location_cause_and_excess_deaths_home_non_institution[[#This Row],[All causes]]-weekly_deaths_location_cause_and_excess_deaths_home_non_institution[[#This Row],[All causes five year average]]</f>
        <v>111</v>
      </c>
      <c r="G172" s="2">
        <v>120</v>
      </c>
      <c r="H172" s="2">
        <v>78</v>
      </c>
      <c r="I172" s="2">
        <f>weekly_deaths_location_cause_and_excess_deaths_home_non_institution[[#This Row],[Cancer deaths]]-weekly_deaths_location_cause_and_excess_deaths_home_non_institution[[#This Row],[Cancer five year average]]</f>
        <v>42</v>
      </c>
      <c r="J172" s="2">
        <v>8</v>
      </c>
      <c r="K172" s="2">
        <v>15</v>
      </c>
      <c r="L172" s="2">
        <f>weekly_deaths_location_cause_and_excess_deaths_home_non_institution[[#This Row],[Dementia / Alzhemier''s deaths]]-weekly_deaths_location_cause_and_excess_deaths_home_non_institution[[#This Row],[Dementia / Alzheimer''s five year average]]</f>
        <v>-7</v>
      </c>
      <c r="M172" s="25">
        <v>107</v>
      </c>
      <c r="N172" s="25">
        <v>82</v>
      </c>
      <c r="O172" s="25">
        <f>weekly_deaths_location_cause_and_excess_deaths_home_non_institution[[#This Row],[Circulatory deaths]]-weekly_deaths_location_cause_and_excess_deaths_home_non_institution[[#This Row],[Circulatory five year average]]</f>
        <v>25</v>
      </c>
      <c r="P172" s="25">
        <v>25</v>
      </c>
      <c r="Q172" s="25">
        <v>28</v>
      </c>
      <c r="R172" s="25">
        <f>weekly_deaths_location_cause_and_excess_deaths_home_non_institution[[#This Row],[Respiratory deaths]]-weekly_deaths_location_cause_and_excess_deaths_home_non_institution[[#This Row],[Respiratory five year average]]</f>
        <v>-3</v>
      </c>
      <c r="S172" s="25">
        <v>8</v>
      </c>
      <c r="T172" s="52">
        <v>93</v>
      </c>
      <c r="U172" s="67">
        <v>47</v>
      </c>
      <c r="V172" s="67">
        <f>weekly_deaths_location_cause_and_excess_deaths_home_non_institution[[#This Row],[Other causes]]-weekly_deaths_location_cause_and_excess_deaths_home_non_institution[[#This Row],[Other causes five year average]]</f>
        <v>46</v>
      </c>
    </row>
    <row r="173" spans="1:23" x14ac:dyDescent="0.35">
      <c r="A173" s="11" t="s">
        <v>85</v>
      </c>
      <c r="B173" s="15">
        <v>53</v>
      </c>
      <c r="C173" s="16">
        <v>44193</v>
      </c>
      <c r="D173" s="59">
        <v>374</v>
      </c>
      <c r="E173" s="52">
        <v>258</v>
      </c>
      <c r="F173" s="52">
        <f>weekly_deaths_location_cause_and_excess_deaths_home_non_institution[[#This Row],[All causes]]-weekly_deaths_location_cause_and_excess_deaths_home_non_institution[[#This Row],[All causes five year average]]</f>
        <v>116</v>
      </c>
      <c r="G173" s="52">
        <v>129</v>
      </c>
      <c r="H173" s="52">
        <v>83</v>
      </c>
      <c r="I173" s="52">
        <f>weekly_deaths_location_cause_and_excess_deaths_home_non_institution[[#This Row],[Cancer deaths]]-weekly_deaths_location_cause_and_excess_deaths_home_non_institution[[#This Row],[Cancer five year average]]</f>
        <v>46</v>
      </c>
      <c r="J173" s="52">
        <v>18</v>
      </c>
      <c r="K173" s="52">
        <v>13</v>
      </c>
      <c r="L173" s="52">
        <f>weekly_deaths_location_cause_and_excess_deaths_home_non_institution[[#This Row],[Dementia / Alzhemier''s deaths]]-weekly_deaths_location_cause_and_excess_deaths_home_non_institution[[#This Row],[Dementia / Alzheimer''s five year average]]</f>
        <v>5</v>
      </c>
      <c r="M173" s="25">
        <v>109</v>
      </c>
      <c r="N173" s="25">
        <v>92</v>
      </c>
      <c r="O173" s="25">
        <f>weekly_deaths_location_cause_and_excess_deaths_home_non_institution[[#This Row],[Circulatory deaths]]-weekly_deaths_location_cause_and_excess_deaths_home_non_institution[[#This Row],[Circulatory five year average]]</f>
        <v>17</v>
      </c>
      <c r="P173" s="25">
        <v>38</v>
      </c>
      <c r="Q173" s="25">
        <v>25</v>
      </c>
      <c r="R173" s="25">
        <f>weekly_deaths_location_cause_and_excess_deaths_home_non_institution[[#This Row],[Respiratory deaths]]-weekly_deaths_location_cause_and_excess_deaths_home_non_institution[[#This Row],[Respiratory five year average]]</f>
        <v>13</v>
      </c>
      <c r="S173" s="25">
        <v>8</v>
      </c>
      <c r="T173" s="52">
        <v>72</v>
      </c>
      <c r="U173" s="67">
        <v>45</v>
      </c>
      <c r="V173" s="67">
        <f>weekly_deaths_location_cause_and_excess_deaths_home_non_institution[[#This Row],[Other causes]]-weekly_deaths_location_cause_and_excess_deaths_home_non_institution[[#This Row],[Other causes five year average]]</f>
        <v>27</v>
      </c>
    </row>
    <row r="174" spans="1:23" s="86" customFormat="1" x14ac:dyDescent="0.35">
      <c r="A174" s="83" t="s">
        <v>179</v>
      </c>
      <c r="B174" s="84" t="s">
        <v>179</v>
      </c>
      <c r="C174" s="84" t="s">
        <v>179</v>
      </c>
      <c r="D174" s="76">
        <f>SUBTOTAL(109,weekly_deaths_location_cause_and_excess_deaths_home_non_institution[All causes])</f>
        <v>20708</v>
      </c>
      <c r="E174" s="77">
        <f>SUBTOTAL(109,weekly_deaths_location_cause_and_excess_deaths_home_non_institution[All causes five year average])</f>
        <v>15629</v>
      </c>
      <c r="F174" s="77">
        <f>SUBTOTAL(109,weekly_deaths_location_cause_and_excess_deaths_home_non_institution[All causes excess])</f>
        <v>5079</v>
      </c>
      <c r="G174" s="77">
        <f>SUBTOTAL(109,weekly_deaths_location_cause_and_excess_deaths_home_non_institution[Cancer deaths])</f>
        <v>6888</v>
      </c>
      <c r="H174" s="76">
        <f>SUBTOTAL(109,weekly_deaths_location_cause_and_excess_deaths_home_non_institution[All causes five year average])</f>
        <v>15629</v>
      </c>
      <c r="I174" s="77">
        <f>SUBTOTAL(109,weekly_deaths_location_cause_and_excess_deaths_home_non_institution[All causes excess])</f>
        <v>5079</v>
      </c>
      <c r="J174" s="77">
        <f>SUBTOTAL(109,weekly_deaths_location_cause_and_excess_deaths_home_non_institution[Cancer deaths])</f>
        <v>6888</v>
      </c>
      <c r="K174" s="77">
        <f>SUBTOTAL(109,weekly_deaths_location_cause_and_excess_deaths_home_non_institution[Cancer five year average])</f>
        <v>4992</v>
      </c>
      <c r="L174" s="76">
        <f>SUBTOTAL(109,weekly_deaths_location_cause_and_excess_deaths_home_non_institution[All causes excess])</f>
        <v>5079</v>
      </c>
      <c r="M174" s="77">
        <f>SUBTOTAL(109,weekly_deaths_location_cause_and_excess_deaths_home_non_institution[Cancer deaths])</f>
        <v>6888</v>
      </c>
      <c r="N174" s="77">
        <f>SUBTOTAL(109,weekly_deaths_location_cause_and_excess_deaths_home_non_institution[Cancer five year average])</f>
        <v>4992</v>
      </c>
      <c r="O174" s="77">
        <f>SUBTOTAL(109,weekly_deaths_location_cause_and_excess_deaths_home_non_institution[Cancer excess])</f>
        <v>1896</v>
      </c>
      <c r="P174" s="76">
        <f>SUBTOTAL(109,weekly_deaths_location_cause_and_excess_deaths_home_non_institution[Cancer deaths])</f>
        <v>6888</v>
      </c>
      <c r="Q174" s="77">
        <f>SUBTOTAL(109,weekly_deaths_location_cause_and_excess_deaths_home_non_institution[Cancer five year average])</f>
        <v>4992</v>
      </c>
      <c r="R174" s="77">
        <f>SUBTOTAL(109,weekly_deaths_location_cause_and_excess_deaths_home_non_institution[Cancer excess])</f>
        <v>1896</v>
      </c>
      <c r="S174" s="77">
        <f>SUBTOTAL(109,weekly_deaths_location_cause_and_excess_deaths_home_non_institution[Dementia / Alzhemier''s deaths])</f>
        <v>856</v>
      </c>
      <c r="T174" s="76">
        <f>SUBTOTAL(109,weekly_deaths_location_cause_and_excess_deaths_home_non_institution[Cancer five year average])</f>
        <v>4992</v>
      </c>
      <c r="U174" s="77">
        <f>SUBTOTAL(109,weekly_deaths_location_cause_and_excess_deaths_home_non_institution[Cancer excess])</f>
        <v>1896</v>
      </c>
      <c r="V174" s="77">
        <f>SUBTOTAL(109,weekly_deaths_location_cause_and_excess_deaths_home_non_institution[Dementia / Alzhemier''s deaths])</f>
        <v>856</v>
      </c>
      <c r="W174" s="41"/>
    </row>
    <row r="176" spans="1:23" x14ac:dyDescent="0.35">
      <c r="A176" s="22" t="s">
        <v>159</v>
      </c>
      <c r="B176" s="23"/>
      <c r="E176" s="24"/>
      <c r="F176" s="24"/>
    </row>
    <row r="177" spans="1:22" ht="62.5" thickBot="1" x14ac:dyDescent="0.4">
      <c r="A177" s="9" t="s">
        <v>63</v>
      </c>
      <c r="B177" s="13" t="s">
        <v>57</v>
      </c>
      <c r="C177" s="13" t="s">
        <v>58</v>
      </c>
      <c r="D177" s="8" t="s">
        <v>80</v>
      </c>
      <c r="E177" s="9" t="s">
        <v>134</v>
      </c>
      <c r="F177" s="9" t="s">
        <v>139</v>
      </c>
      <c r="G177" s="7" t="s">
        <v>81</v>
      </c>
      <c r="H177" s="9" t="s">
        <v>135</v>
      </c>
      <c r="I177" s="9" t="s">
        <v>136</v>
      </c>
      <c r="J177" s="9" t="s">
        <v>84</v>
      </c>
      <c r="K177" s="9" t="s">
        <v>137</v>
      </c>
      <c r="L177" s="9" t="s">
        <v>138</v>
      </c>
      <c r="M177" s="9" t="s">
        <v>145</v>
      </c>
      <c r="N177" s="9" t="s">
        <v>146</v>
      </c>
      <c r="O177" s="9" t="s">
        <v>147</v>
      </c>
      <c r="P177" s="9" t="s">
        <v>82</v>
      </c>
      <c r="Q177" s="9" t="s">
        <v>140</v>
      </c>
      <c r="R177" s="9" t="s">
        <v>141</v>
      </c>
      <c r="S177" s="9" t="s">
        <v>83</v>
      </c>
      <c r="T177" s="9" t="s">
        <v>88</v>
      </c>
      <c r="U177" s="9" t="s">
        <v>142</v>
      </c>
      <c r="V177" s="26" t="s">
        <v>143</v>
      </c>
    </row>
    <row r="178" spans="1:22" x14ac:dyDescent="0.35">
      <c r="A178" s="14" t="s">
        <v>85</v>
      </c>
      <c r="B178" s="15">
        <v>1</v>
      </c>
      <c r="C178" s="16">
        <v>43829</v>
      </c>
      <c r="D178" s="57">
        <v>549</v>
      </c>
      <c r="E178" s="2">
        <v>642</v>
      </c>
      <c r="F178" s="2">
        <f>weekly_deaths_location_cause_and_excess_deaths_hospital[[#This Row],[All causes]]-weekly_deaths_location_cause_and_excess_deaths_hospital[[#This Row],[All causes five year average]]</f>
        <v>-93</v>
      </c>
      <c r="G178" s="2">
        <v>139</v>
      </c>
      <c r="H178" s="2">
        <v>156</v>
      </c>
      <c r="I178" s="2">
        <f>weekly_deaths_location_cause_and_excess_deaths_hospital[[#This Row],[Cancer deaths]]-weekly_deaths_location_cause_and_excess_deaths_hospital[[#This Row],[Cancer five year average]]</f>
        <v>-17</v>
      </c>
      <c r="J178" s="2">
        <v>28</v>
      </c>
      <c r="K178" s="2">
        <v>34</v>
      </c>
      <c r="L178" s="2">
        <f>weekly_deaths_location_cause_and_excess_deaths_hospital[[#This Row],[Dementia / Alzhemier''s deaths]]-weekly_deaths_location_cause_and_excess_deaths_hospital[[#This Row],[Dementia / Alzheimer''s five year average]]</f>
        <v>-6</v>
      </c>
      <c r="M178" s="25">
        <v>150</v>
      </c>
      <c r="N178" s="25">
        <v>162</v>
      </c>
      <c r="O178" s="25">
        <f>weekly_deaths_location_cause_and_excess_deaths_hospital[[#This Row],[Circulatory deaths]]-weekly_deaths_location_cause_and_excess_deaths_hospital[[#This Row],[Circulatory five year average]]</f>
        <v>-12</v>
      </c>
      <c r="P178" s="25">
        <v>102</v>
      </c>
      <c r="Q178" s="25">
        <v>135</v>
      </c>
      <c r="R178" s="25">
        <f>weekly_deaths_location_cause_and_excess_deaths_hospital[[#This Row],[Respiratory deaths]]-weekly_deaths_location_cause_and_excess_deaths_hospital[[#This Row],[Respiratory five year average]]</f>
        <v>-33</v>
      </c>
      <c r="S178" s="25">
        <v>0</v>
      </c>
      <c r="T178" s="52">
        <v>130</v>
      </c>
      <c r="U178" s="52">
        <v>154</v>
      </c>
      <c r="V178" s="25">
        <f>weekly_deaths_location_cause_and_excess_deaths_hospital[[#This Row],[Other causes]]-weekly_deaths_location_cause_and_excess_deaths_hospital[[#This Row],[Other causes five year average]]</f>
        <v>-24</v>
      </c>
    </row>
    <row r="179" spans="1:22" x14ac:dyDescent="0.35">
      <c r="A179" s="14" t="s">
        <v>85</v>
      </c>
      <c r="B179" s="15">
        <v>2</v>
      </c>
      <c r="C179" s="16">
        <v>43836</v>
      </c>
      <c r="D179" s="57">
        <v>794</v>
      </c>
      <c r="E179" s="2">
        <v>785</v>
      </c>
      <c r="F179" s="2">
        <f>weekly_deaths_location_cause_and_excess_deaths_hospital[[#This Row],[All causes]]-weekly_deaths_location_cause_and_excess_deaths_hospital[[#This Row],[All causes five year average]]</f>
        <v>9</v>
      </c>
      <c r="G179" s="2">
        <v>186</v>
      </c>
      <c r="H179" s="2">
        <v>177</v>
      </c>
      <c r="I179" s="2">
        <f>weekly_deaths_location_cause_and_excess_deaths_hospital[[#This Row],[Cancer deaths]]-weekly_deaths_location_cause_and_excess_deaths_hospital[[#This Row],[Cancer five year average]]</f>
        <v>9</v>
      </c>
      <c r="J179" s="2">
        <v>61</v>
      </c>
      <c r="K179" s="2">
        <v>38</v>
      </c>
      <c r="L179" s="2">
        <f>weekly_deaths_location_cause_and_excess_deaths_hospital[[#This Row],[Dementia / Alzhemier''s deaths]]-weekly_deaths_location_cause_and_excess_deaths_hospital[[#This Row],[Dementia / Alzheimer''s five year average]]</f>
        <v>23</v>
      </c>
      <c r="M179" s="25">
        <v>198</v>
      </c>
      <c r="N179" s="25">
        <v>198</v>
      </c>
      <c r="O179" s="25">
        <f>weekly_deaths_location_cause_and_excess_deaths_hospital[[#This Row],[Circulatory deaths]]-weekly_deaths_location_cause_and_excess_deaths_hospital[[#This Row],[Circulatory five year average]]</f>
        <v>0</v>
      </c>
      <c r="P179" s="25">
        <v>143</v>
      </c>
      <c r="Q179" s="25">
        <v>177</v>
      </c>
      <c r="R179" s="25">
        <f>weekly_deaths_location_cause_and_excess_deaths_hospital[[#This Row],[Respiratory deaths]]-weekly_deaths_location_cause_and_excess_deaths_hospital[[#This Row],[Respiratory five year average]]</f>
        <v>-34</v>
      </c>
      <c r="S179" s="25">
        <v>0</v>
      </c>
      <c r="T179" s="52">
        <v>206</v>
      </c>
      <c r="U179" s="52">
        <v>195</v>
      </c>
      <c r="V179" s="25">
        <f>weekly_deaths_location_cause_and_excess_deaths_hospital[[#This Row],[Other causes]]-weekly_deaths_location_cause_and_excess_deaths_hospital[[#This Row],[Other causes five year average]]</f>
        <v>11</v>
      </c>
    </row>
    <row r="180" spans="1:22" x14ac:dyDescent="0.35">
      <c r="A180" s="14" t="s">
        <v>85</v>
      </c>
      <c r="B180" s="15">
        <v>3</v>
      </c>
      <c r="C180" s="16">
        <v>43843</v>
      </c>
      <c r="D180" s="57">
        <v>632</v>
      </c>
      <c r="E180" s="2">
        <v>694</v>
      </c>
      <c r="F180" s="2">
        <f>weekly_deaths_location_cause_and_excess_deaths_hospital[[#This Row],[All causes]]-weekly_deaths_location_cause_and_excess_deaths_hospital[[#This Row],[All causes five year average]]</f>
        <v>-62</v>
      </c>
      <c r="G180" s="2">
        <v>145</v>
      </c>
      <c r="H180" s="2">
        <v>155</v>
      </c>
      <c r="I180" s="2">
        <f>weekly_deaths_location_cause_and_excess_deaths_hospital[[#This Row],[Cancer deaths]]-weekly_deaths_location_cause_and_excess_deaths_hospital[[#This Row],[Cancer five year average]]</f>
        <v>-10</v>
      </c>
      <c r="J180" s="2">
        <v>34</v>
      </c>
      <c r="K180" s="2">
        <v>32</v>
      </c>
      <c r="L180" s="2">
        <f>weekly_deaths_location_cause_and_excess_deaths_hospital[[#This Row],[Dementia / Alzhemier''s deaths]]-weekly_deaths_location_cause_and_excess_deaths_hospital[[#This Row],[Dementia / Alzheimer''s five year average]]</f>
        <v>2</v>
      </c>
      <c r="M180" s="25">
        <v>164</v>
      </c>
      <c r="N180" s="25">
        <v>185</v>
      </c>
      <c r="O180" s="25">
        <f>weekly_deaths_location_cause_and_excess_deaths_hospital[[#This Row],[Circulatory deaths]]-weekly_deaths_location_cause_and_excess_deaths_hospital[[#This Row],[Circulatory five year average]]</f>
        <v>-21</v>
      </c>
      <c r="P180" s="25">
        <v>119</v>
      </c>
      <c r="Q180" s="25">
        <v>148</v>
      </c>
      <c r="R180" s="25">
        <f>weekly_deaths_location_cause_and_excess_deaths_hospital[[#This Row],[Respiratory deaths]]-weekly_deaths_location_cause_and_excess_deaths_hospital[[#This Row],[Respiratory five year average]]</f>
        <v>-29</v>
      </c>
      <c r="S180" s="25">
        <v>0</v>
      </c>
      <c r="T180" s="52">
        <v>170</v>
      </c>
      <c r="U180" s="52">
        <v>174</v>
      </c>
      <c r="V180" s="25">
        <f>weekly_deaths_location_cause_and_excess_deaths_hospital[[#This Row],[Other causes]]-weekly_deaths_location_cause_and_excess_deaths_hospital[[#This Row],[Other causes five year average]]</f>
        <v>-4</v>
      </c>
    </row>
    <row r="181" spans="1:22" x14ac:dyDescent="0.35">
      <c r="A181" s="14" t="s">
        <v>85</v>
      </c>
      <c r="B181" s="15">
        <v>4</v>
      </c>
      <c r="C181" s="16">
        <v>43850</v>
      </c>
      <c r="D181" s="57">
        <v>596</v>
      </c>
      <c r="E181" s="2">
        <v>651</v>
      </c>
      <c r="F181" s="2">
        <f>weekly_deaths_location_cause_and_excess_deaths_hospital[[#This Row],[All causes]]-weekly_deaths_location_cause_and_excess_deaths_hospital[[#This Row],[All causes five year average]]</f>
        <v>-55</v>
      </c>
      <c r="G181" s="2">
        <v>145</v>
      </c>
      <c r="H181" s="2">
        <v>157</v>
      </c>
      <c r="I181" s="2">
        <f>weekly_deaths_location_cause_and_excess_deaths_hospital[[#This Row],[Cancer deaths]]-weekly_deaths_location_cause_and_excess_deaths_hospital[[#This Row],[Cancer five year average]]</f>
        <v>-12</v>
      </c>
      <c r="J181" s="2">
        <v>21</v>
      </c>
      <c r="K181" s="2">
        <v>36</v>
      </c>
      <c r="L181" s="2">
        <f>weekly_deaths_location_cause_and_excess_deaths_hospital[[#This Row],[Dementia / Alzhemier''s deaths]]-weekly_deaths_location_cause_and_excess_deaths_hospital[[#This Row],[Dementia / Alzheimer''s five year average]]</f>
        <v>-15</v>
      </c>
      <c r="M181" s="25">
        <v>149</v>
      </c>
      <c r="N181" s="25">
        <v>172</v>
      </c>
      <c r="O181" s="25">
        <f>weekly_deaths_location_cause_and_excess_deaths_hospital[[#This Row],[Circulatory deaths]]-weekly_deaths_location_cause_and_excess_deaths_hospital[[#This Row],[Circulatory five year average]]</f>
        <v>-23</v>
      </c>
      <c r="P181" s="25">
        <v>94</v>
      </c>
      <c r="Q181" s="25">
        <v>127</v>
      </c>
      <c r="R181" s="25">
        <f>weekly_deaths_location_cause_and_excess_deaths_hospital[[#This Row],[Respiratory deaths]]-weekly_deaths_location_cause_and_excess_deaths_hospital[[#This Row],[Respiratory five year average]]</f>
        <v>-33</v>
      </c>
      <c r="S181" s="25">
        <v>0</v>
      </c>
      <c r="T181" s="52">
        <v>187</v>
      </c>
      <c r="U181" s="52">
        <v>160</v>
      </c>
      <c r="V181" s="25">
        <f>weekly_deaths_location_cause_and_excess_deaths_hospital[[#This Row],[Other causes]]-weekly_deaths_location_cause_and_excess_deaths_hospital[[#This Row],[Other causes five year average]]</f>
        <v>27</v>
      </c>
    </row>
    <row r="182" spans="1:22" x14ac:dyDescent="0.35">
      <c r="A182" s="14" t="s">
        <v>85</v>
      </c>
      <c r="B182" s="15">
        <v>5</v>
      </c>
      <c r="C182" s="16">
        <v>43857</v>
      </c>
      <c r="D182" s="57">
        <v>591</v>
      </c>
      <c r="E182" s="2">
        <v>649</v>
      </c>
      <c r="F182" s="2">
        <f>weekly_deaths_location_cause_and_excess_deaths_hospital[[#This Row],[All causes]]-weekly_deaths_location_cause_and_excess_deaths_hospital[[#This Row],[All causes five year average]]</f>
        <v>-58</v>
      </c>
      <c r="G182" s="2">
        <v>152</v>
      </c>
      <c r="H182" s="2">
        <v>155</v>
      </c>
      <c r="I182" s="2">
        <f>weekly_deaths_location_cause_and_excess_deaths_hospital[[#This Row],[Cancer deaths]]-weekly_deaths_location_cause_and_excess_deaths_hospital[[#This Row],[Cancer five year average]]</f>
        <v>-3</v>
      </c>
      <c r="J182" s="2">
        <v>40</v>
      </c>
      <c r="K182" s="2">
        <v>37</v>
      </c>
      <c r="L182" s="2">
        <f>weekly_deaths_location_cause_and_excess_deaths_hospital[[#This Row],[Dementia / Alzhemier''s deaths]]-weekly_deaths_location_cause_and_excess_deaths_hospital[[#This Row],[Dementia / Alzheimer''s five year average]]</f>
        <v>3</v>
      </c>
      <c r="M182" s="25">
        <v>140</v>
      </c>
      <c r="N182" s="25">
        <v>173</v>
      </c>
      <c r="O182" s="25">
        <f>weekly_deaths_location_cause_and_excess_deaths_hospital[[#This Row],[Circulatory deaths]]-weekly_deaths_location_cause_and_excess_deaths_hospital[[#This Row],[Circulatory five year average]]</f>
        <v>-33</v>
      </c>
      <c r="P182" s="25">
        <v>94</v>
      </c>
      <c r="Q182" s="25">
        <v>123</v>
      </c>
      <c r="R182" s="25">
        <f>weekly_deaths_location_cause_and_excess_deaths_hospital[[#This Row],[Respiratory deaths]]-weekly_deaths_location_cause_and_excess_deaths_hospital[[#This Row],[Respiratory five year average]]</f>
        <v>-29</v>
      </c>
      <c r="S182" s="25">
        <v>0</v>
      </c>
      <c r="T182" s="52">
        <v>165</v>
      </c>
      <c r="U182" s="52">
        <v>160</v>
      </c>
      <c r="V182" s="25">
        <f>weekly_deaths_location_cause_and_excess_deaths_hospital[[#This Row],[Other causes]]-weekly_deaths_location_cause_and_excess_deaths_hospital[[#This Row],[Other causes five year average]]</f>
        <v>5</v>
      </c>
    </row>
    <row r="183" spans="1:22" x14ac:dyDescent="0.35">
      <c r="A183" s="14" t="s">
        <v>85</v>
      </c>
      <c r="B183" s="15">
        <v>6</v>
      </c>
      <c r="C183" s="16">
        <v>43864</v>
      </c>
      <c r="D183" s="57">
        <v>603</v>
      </c>
      <c r="E183" s="2">
        <v>633</v>
      </c>
      <c r="F183" s="2">
        <f>weekly_deaths_location_cause_and_excess_deaths_hospital[[#This Row],[All causes]]-weekly_deaths_location_cause_and_excess_deaths_hospital[[#This Row],[All causes five year average]]</f>
        <v>-30</v>
      </c>
      <c r="G183" s="2">
        <v>169</v>
      </c>
      <c r="H183" s="2">
        <v>152</v>
      </c>
      <c r="I183" s="2">
        <f>weekly_deaths_location_cause_and_excess_deaths_hospital[[#This Row],[Cancer deaths]]-weekly_deaths_location_cause_and_excess_deaths_hospital[[#This Row],[Cancer five year average]]</f>
        <v>17</v>
      </c>
      <c r="J183" s="2">
        <v>22</v>
      </c>
      <c r="K183" s="2">
        <v>34</v>
      </c>
      <c r="L183" s="2">
        <f>weekly_deaths_location_cause_and_excess_deaths_hospital[[#This Row],[Dementia / Alzhemier''s deaths]]-weekly_deaths_location_cause_and_excess_deaths_hospital[[#This Row],[Dementia / Alzheimer''s five year average]]</f>
        <v>-12</v>
      </c>
      <c r="M183" s="25">
        <v>173</v>
      </c>
      <c r="N183" s="25">
        <v>165</v>
      </c>
      <c r="O183" s="25">
        <f>weekly_deaths_location_cause_and_excess_deaths_hospital[[#This Row],[Circulatory deaths]]-weekly_deaths_location_cause_and_excess_deaths_hospital[[#This Row],[Circulatory five year average]]</f>
        <v>8</v>
      </c>
      <c r="P183" s="25">
        <v>80</v>
      </c>
      <c r="Q183" s="25">
        <v>118</v>
      </c>
      <c r="R183" s="25">
        <f>weekly_deaths_location_cause_and_excess_deaths_hospital[[#This Row],[Respiratory deaths]]-weekly_deaths_location_cause_and_excess_deaths_hospital[[#This Row],[Respiratory five year average]]</f>
        <v>-38</v>
      </c>
      <c r="S183" s="25">
        <v>0</v>
      </c>
      <c r="T183" s="52">
        <v>159</v>
      </c>
      <c r="U183" s="52">
        <v>165</v>
      </c>
      <c r="V183" s="25">
        <f>weekly_deaths_location_cause_and_excess_deaths_hospital[[#This Row],[Other causes]]-weekly_deaths_location_cause_and_excess_deaths_hospital[[#This Row],[Other causes five year average]]</f>
        <v>-6</v>
      </c>
    </row>
    <row r="184" spans="1:22" x14ac:dyDescent="0.35">
      <c r="A184" s="14" t="s">
        <v>85</v>
      </c>
      <c r="B184" s="15">
        <v>7</v>
      </c>
      <c r="C184" s="16">
        <v>43871</v>
      </c>
      <c r="D184" s="57">
        <v>555</v>
      </c>
      <c r="E184" s="2">
        <v>642</v>
      </c>
      <c r="F184" s="2">
        <f>weekly_deaths_location_cause_and_excess_deaths_hospital[[#This Row],[All causes]]-weekly_deaths_location_cause_and_excess_deaths_hospital[[#This Row],[All causes five year average]]</f>
        <v>-87</v>
      </c>
      <c r="G184" s="2">
        <v>138</v>
      </c>
      <c r="H184" s="2">
        <v>154</v>
      </c>
      <c r="I184" s="2">
        <f>weekly_deaths_location_cause_and_excess_deaths_hospital[[#This Row],[Cancer deaths]]-weekly_deaths_location_cause_and_excess_deaths_hospital[[#This Row],[Cancer five year average]]</f>
        <v>-16</v>
      </c>
      <c r="J184" s="2">
        <v>31</v>
      </c>
      <c r="K184" s="2">
        <v>28</v>
      </c>
      <c r="L184" s="2">
        <f>weekly_deaths_location_cause_and_excess_deaths_hospital[[#This Row],[Dementia / Alzhemier''s deaths]]-weekly_deaths_location_cause_and_excess_deaths_hospital[[#This Row],[Dementia / Alzheimer''s five year average]]</f>
        <v>3</v>
      </c>
      <c r="M184" s="25">
        <v>134</v>
      </c>
      <c r="N184" s="25">
        <v>170</v>
      </c>
      <c r="O184" s="25">
        <f>weekly_deaths_location_cause_and_excess_deaths_hospital[[#This Row],[Circulatory deaths]]-weekly_deaths_location_cause_and_excess_deaths_hospital[[#This Row],[Circulatory five year average]]</f>
        <v>-36</v>
      </c>
      <c r="P184" s="25">
        <v>88</v>
      </c>
      <c r="Q184" s="25">
        <v>120</v>
      </c>
      <c r="R184" s="25">
        <f>weekly_deaths_location_cause_and_excess_deaths_hospital[[#This Row],[Respiratory deaths]]-weekly_deaths_location_cause_and_excess_deaths_hospital[[#This Row],[Respiratory five year average]]</f>
        <v>-32</v>
      </c>
      <c r="S184" s="25">
        <v>0</v>
      </c>
      <c r="T184" s="52">
        <v>164</v>
      </c>
      <c r="U184" s="52">
        <v>171</v>
      </c>
      <c r="V184" s="25">
        <f>weekly_deaths_location_cause_and_excess_deaths_hospital[[#This Row],[Other causes]]-weekly_deaths_location_cause_and_excess_deaths_hospital[[#This Row],[Other causes five year average]]</f>
        <v>-7</v>
      </c>
    </row>
    <row r="185" spans="1:22" x14ac:dyDescent="0.35">
      <c r="A185" s="14" t="s">
        <v>85</v>
      </c>
      <c r="B185" s="15">
        <v>8</v>
      </c>
      <c r="C185" s="16">
        <v>43878</v>
      </c>
      <c r="D185" s="57">
        <v>551</v>
      </c>
      <c r="E185" s="2">
        <v>616</v>
      </c>
      <c r="F185" s="2">
        <f>weekly_deaths_location_cause_and_excess_deaths_hospital[[#This Row],[All causes]]-weekly_deaths_location_cause_and_excess_deaths_hospital[[#This Row],[All causes five year average]]</f>
        <v>-65</v>
      </c>
      <c r="G185" s="2">
        <v>152</v>
      </c>
      <c r="H185" s="2">
        <v>144</v>
      </c>
      <c r="I185" s="2">
        <f>weekly_deaths_location_cause_and_excess_deaths_hospital[[#This Row],[Cancer deaths]]-weekly_deaths_location_cause_and_excess_deaths_hospital[[#This Row],[Cancer five year average]]</f>
        <v>8</v>
      </c>
      <c r="J185" s="2">
        <v>22</v>
      </c>
      <c r="K185" s="2">
        <v>32</v>
      </c>
      <c r="L185" s="2">
        <f>weekly_deaths_location_cause_and_excess_deaths_hospital[[#This Row],[Dementia / Alzhemier''s deaths]]-weekly_deaths_location_cause_and_excess_deaths_hospital[[#This Row],[Dementia / Alzheimer''s five year average]]</f>
        <v>-10</v>
      </c>
      <c r="M185" s="25">
        <v>144</v>
      </c>
      <c r="N185" s="25">
        <v>166</v>
      </c>
      <c r="O185" s="25">
        <f>weekly_deaths_location_cause_and_excess_deaths_hospital[[#This Row],[Circulatory deaths]]-weekly_deaths_location_cause_and_excess_deaths_hospital[[#This Row],[Circulatory five year average]]</f>
        <v>-22</v>
      </c>
      <c r="P185" s="25">
        <v>81</v>
      </c>
      <c r="Q185" s="25">
        <v>121</v>
      </c>
      <c r="R185" s="25">
        <f>weekly_deaths_location_cause_and_excess_deaths_hospital[[#This Row],[Respiratory deaths]]-weekly_deaths_location_cause_and_excess_deaths_hospital[[#This Row],[Respiratory five year average]]</f>
        <v>-40</v>
      </c>
      <c r="S185" s="25">
        <v>0</v>
      </c>
      <c r="T185" s="52">
        <v>152</v>
      </c>
      <c r="U185" s="52">
        <v>154</v>
      </c>
      <c r="V185" s="25">
        <f>weekly_deaths_location_cause_and_excess_deaths_hospital[[#This Row],[Other causes]]-weekly_deaths_location_cause_and_excess_deaths_hospital[[#This Row],[Other causes five year average]]</f>
        <v>-2</v>
      </c>
    </row>
    <row r="186" spans="1:22" x14ac:dyDescent="0.35">
      <c r="A186" s="14" t="s">
        <v>85</v>
      </c>
      <c r="B186" s="15">
        <v>9</v>
      </c>
      <c r="C186" s="16">
        <v>43885</v>
      </c>
      <c r="D186" s="57">
        <v>542</v>
      </c>
      <c r="E186" s="2">
        <v>577</v>
      </c>
      <c r="F186" s="2">
        <f>weekly_deaths_location_cause_and_excess_deaths_hospital[[#This Row],[All causes]]-weekly_deaths_location_cause_and_excess_deaths_hospital[[#This Row],[All causes five year average]]</f>
        <v>-35</v>
      </c>
      <c r="G186" s="2">
        <v>129</v>
      </c>
      <c r="H186" s="2">
        <v>142</v>
      </c>
      <c r="I186" s="2">
        <f>weekly_deaths_location_cause_and_excess_deaths_hospital[[#This Row],[Cancer deaths]]-weekly_deaths_location_cause_and_excess_deaths_hospital[[#This Row],[Cancer five year average]]</f>
        <v>-13</v>
      </c>
      <c r="J186" s="2">
        <v>23</v>
      </c>
      <c r="K186" s="2">
        <v>28</v>
      </c>
      <c r="L186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186" s="25">
        <v>153</v>
      </c>
      <c r="N186" s="25">
        <v>154</v>
      </c>
      <c r="O186" s="25">
        <f>weekly_deaths_location_cause_and_excess_deaths_hospital[[#This Row],[Circulatory deaths]]-weekly_deaths_location_cause_and_excess_deaths_hospital[[#This Row],[Circulatory five year average]]</f>
        <v>-1</v>
      </c>
      <c r="P186" s="25">
        <v>82</v>
      </c>
      <c r="Q186" s="25">
        <v>111</v>
      </c>
      <c r="R186" s="25">
        <f>weekly_deaths_location_cause_and_excess_deaths_hospital[[#This Row],[Respiratory deaths]]-weekly_deaths_location_cause_and_excess_deaths_hospital[[#This Row],[Respiratory five year average]]</f>
        <v>-29</v>
      </c>
      <c r="S186" s="25">
        <v>0</v>
      </c>
      <c r="T186" s="52">
        <v>155</v>
      </c>
      <c r="U186" s="52">
        <v>142</v>
      </c>
      <c r="V186" s="25">
        <f>weekly_deaths_location_cause_and_excess_deaths_hospital[[#This Row],[Other causes]]-weekly_deaths_location_cause_and_excess_deaths_hospital[[#This Row],[Other causes five year average]]</f>
        <v>13</v>
      </c>
    </row>
    <row r="187" spans="1:22" x14ac:dyDescent="0.35">
      <c r="A187" s="14" t="s">
        <v>85</v>
      </c>
      <c r="B187" s="15">
        <v>10</v>
      </c>
      <c r="C187" s="16">
        <v>43892</v>
      </c>
      <c r="D187" s="57">
        <v>570</v>
      </c>
      <c r="E187" s="2">
        <v>604</v>
      </c>
      <c r="F187" s="2">
        <f>weekly_deaths_location_cause_and_excess_deaths_hospital[[#This Row],[All causes]]-weekly_deaths_location_cause_and_excess_deaths_hospital[[#This Row],[All causes five year average]]</f>
        <v>-34</v>
      </c>
      <c r="G187" s="2">
        <v>135</v>
      </c>
      <c r="H187" s="2">
        <v>151</v>
      </c>
      <c r="I187" s="2">
        <f>weekly_deaths_location_cause_and_excess_deaths_hospital[[#This Row],[Cancer deaths]]-weekly_deaths_location_cause_and_excess_deaths_hospital[[#This Row],[Cancer five year average]]</f>
        <v>-16</v>
      </c>
      <c r="J187" s="2">
        <v>42</v>
      </c>
      <c r="K187" s="2">
        <v>33</v>
      </c>
      <c r="L187" s="2">
        <f>weekly_deaths_location_cause_and_excess_deaths_hospital[[#This Row],[Dementia / Alzhemier''s deaths]]-weekly_deaths_location_cause_and_excess_deaths_hospital[[#This Row],[Dementia / Alzheimer''s five year average]]</f>
        <v>9</v>
      </c>
      <c r="M187" s="25">
        <v>155</v>
      </c>
      <c r="N187" s="25">
        <v>166</v>
      </c>
      <c r="O187" s="25">
        <f>weekly_deaths_location_cause_and_excess_deaths_hospital[[#This Row],[Circulatory deaths]]-weekly_deaths_location_cause_and_excess_deaths_hospital[[#This Row],[Circulatory five year average]]</f>
        <v>-11</v>
      </c>
      <c r="P187" s="25">
        <v>79</v>
      </c>
      <c r="Q187" s="25">
        <v>100</v>
      </c>
      <c r="R187" s="25">
        <f>weekly_deaths_location_cause_and_excess_deaths_hospital[[#This Row],[Respiratory deaths]]-weekly_deaths_location_cause_and_excess_deaths_hospital[[#This Row],[Respiratory five year average]]</f>
        <v>-21</v>
      </c>
      <c r="S187" s="25">
        <v>0</v>
      </c>
      <c r="T187" s="52">
        <v>159</v>
      </c>
      <c r="U187" s="52">
        <v>154</v>
      </c>
      <c r="V187" s="25">
        <f>weekly_deaths_location_cause_and_excess_deaths_hospital[[#This Row],[Other causes]]-weekly_deaths_location_cause_and_excess_deaths_hospital[[#This Row],[Other causes five year average]]</f>
        <v>5</v>
      </c>
    </row>
    <row r="188" spans="1:22" x14ac:dyDescent="0.35">
      <c r="A188" s="14" t="s">
        <v>85</v>
      </c>
      <c r="B188" s="15">
        <v>11</v>
      </c>
      <c r="C188" s="16">
        <v>43899</v>
      </c>
      <c r="D188" s="57">
        <v>574</v>
      </c>
      <c r="E188" s="2">
        <v>587</v>
      </c>
      <c r="F188" s="2">
        <f>weekly_deaths_location_cause_and_excess_deaths_hospital[[#This Row],[All causes]]-weekly_deaths_location_cause_and_excess_deaths_hospital[[#This Row],[All causes five year average]]</f>
        <v>-13</v>
      </c>
      <c r="G188" s="2">
        <v>132</v>
      </c>
      <c r="H188" s="2">
        <v>153</v>
      </c>
      <c r="I188" s="2">
        <f>weekly_deaths_location_cause_and_excess_deaths_hospital[[#This Row],[Cancer deaths]]-weekly_deaths_location_cause_and_excess_deaths_hospital[[#This Row],[Cancer five year average]]</f>
        <v>-21</v>
      </c>
      <c r="J188" s="2">
        <v>36</v>
      </c>
      <c r="K188" s="2">
        <v>30</v>
      </c>
      <c r="L188" s="2">
        <f>weekly_deaths_location_cause_and_excess_deaths_hospital[[#This Row],[Dementia / Alzhemier''s deaths]]-weekly_deaths_location_cause_and_excess_deaths_hospital[[#This Row],[Dementia / Alzheimer''s five year average]]</f>
        <v>6</v>
      </c>
      <c r="M188" s="25">
        <v>171</v>
      </c>
      <c r="N188" s="25">
        <v>155</v>
      </c>
      <c r="O188" s="25">
        <f>weekly_deaths_location_cause_and_excess_deaths_hospital[[#This Row],[Circulatory deaths]]-weekly_deaths_location_cause_and_excess_deaths_hospital[[#This Row],[Circulatory five year average]]</f>
        <v>16</v>
      </c>
      <c r="P188" s="25">
        <v>78</v>
      </c>
      <c r="Q188" s="25">
        <v>107</v>
      </c>
      <c r="R188" s="25">
        <f>weekly_deaths_location_cause_and_excess_deaths_hospital[[#This Row],[Respiratory deaths]]-weekly_deaths_location_cause_and_excess_deaths_hospital[[#This Row],[Respiratory five year average]]</f>
        <v>-29</v>
      </c>
      <c r="S188" s="25">
        <v>0</v>
      </c>
      <c r="T188" s="52">
        <v>157</v>
      </c>
      <c r="U188" s="52">
        <v>142</v>
      </c>
      <c r="V188" s="25">
        <f>weekly_deaths_location_cause_and_excess_deaths_hospital[[#This Row],[Other causes]]-weekly_deaths_location_cause_and_excess_deaths_hospital[[#This Row],[Other causes five year average]]</f>
        <v>15</v>
      </c>
    </row>
    <row r="189" spans="1:22" x14ac:dyDescent="0.35">
      <c r="A189" s="14" t="s">
        <v>85</v>
      </c>
      <c r="B189" s="15">
        <v>12</v>
      </c>
      <c r="C189" s="16">
        <v>43906</v>
      </c>
      <c r="D189" s="57">
        <v>547</v>
      </c>
      <c r="E189" s="2">
        <v>551</v>
      </c>
      <c r="F189" s="2">
        <f>weekly_deaths_location_cause_and_excess_deaths_hospital[[#This Row],[All causes]]-weekly_deaths_location_cause_and_excess_deaths_hospital[[#This Row],[All causes five year average]]</f>
        <v>-4</v>
      </c>
      <c r="G189" s="2">
        <v>139</v>
      </c>
      <c r="H189" s="2">
        <v>135</v>
      </c>
      <c r="I189" s="2">
        <f>weekly_deaths_location_cause_and_excess_deaths_hospital[[#This Row],[Cancer deaths]]-weekly_deaths_location_cause_and_excess_deaths_hospital[[#This Row],[Cancer five year average]]</f>
        <v>4</v>
      </c>
      <c r="J189" s="2">
        <v>17</v>
      </c>
      <c r="K189" s="2">
        <v>21</v>
      </c>
      <c r="L189" s="2">
        <f>weekly_deaths_location_cause_and_excess_deaths_hospital[[#This Row],[Dementia / Alzhemier''s deaths]]-weekly_deaths_location_cause_and_excess_deaths_hospital[[#This Row],[Dementia / Alzheimer''s five year average]]</f>
        <v>-4</v>
      </c>
      <c r="M189" s="25">
        <v>147</v>
      </c>
      <c r="N189" s="25">
        <v>156</v>
      </c>
      <c r="O189" s="25">
        <f>weekly_deaths_location_cause_and_excess_deaths_hospital[[#This Row],[Circulatory deaths]]-weekly_deaths_location_cause_and_excess_deaths_hospital[[#This Row],[Circulatory five year average]]</f>
        <v>-9</v>
      </c>
      <c r="P189" s="25">
        <v>85</v>
      </c>
      <c r="Q189" s="25">
        <v>102</v>
      </c>
      <c r="R189" s="25">
        <f>weekly_deaths_location_cause_and_excess_deaths_hospital[[#This Row],[Respiratory deaths]]-weekly_deaths_location_cause_and_excess_deaths_hospital[[#This Row],[Respiratory five year average]]</f>
        <v>-17</v>
      </c>
      <c r="S189" s="25">
        <v>8</v>
      </c>
      <c r="T189" s="52">
        <v>151</v>
      </c>
      <c r="U189" s="52">
        <v>136</v>
      </c>
      <c r="V189" s="25">
        <f>weekly_deaths_location_cause_and_excess_deaths_hospital[[#This Row],[Other causes]]-weekly_deaths_location_cause_and_excess_deaths_hospital[[#This Row],[Other causes five year average]]</f>
        <v>15</v>
      </c>
    </row>
    <row r="190" spans="1:22" x14ac:dyDescent="0.35">
      <c r="A190" s="14" t="s">
        <v>85</v>
      </c>
      <c r="B190" s="15">
        <v>13</v>
      </c>
      <c r="C190" s="16">
        <v>43913</v>
      </c>
      <c r="D190" s="57">
        <v>465</v>
      </c>
      <c r="E190" s="2">
        <v>548</v>
      </c>
      <c r="F190" s="2">
        <f>weekly_deaths_location_cause_and_excess_deaths_hospital[[#This Row],[All causes]]-weekly_deaths_location_cause_and_excess_deaths_hospital[[#This Row],[All causes five year average]]</f>
        <v>-83</v>
      </c>
      <c r="G190" s="2">
        <v>105</v>
      </c>
      <c r="H190" s="2">
        <v>143</v>
      </c>
      <c r="I190" s="2">
        <f>weekly_deaths_location_cause_and_excess_deaths_hospital[[#This Row],[Cancer deaths]]-weekly_deaths_location_cause_and_excess_deaths_hospital[[#This Row],[Cancer five year average]]</f>
        <v>-38</v>
      </c>
      <c r="J190" s="2">
        <v>19</v>
      </c>
      <c r="K190" s="2">
        <v>23</v>
      </c>
      <c r="L190" s="2">
        <f>weekly_deaths_location_cause_and_excess_deaths_hospital[[#This Row],[Dementia / Alzhemier''s deaths]]-weekly_deaths_location_cause_and_excess_deaths_hospital[[#This Row],[Dementia / Alzheimer''s five year average]]</f>
        <v>-4</v>
      </c>
      <c r="M190" s="25">
        <v>121</v>
      </c>
      <c r="N190" s="25">
        <v>158</v>
      </c>
      <c r="O190" s="25">
        <f>weekly_deaths_location_cause_and_excess_deaths_hospital[[#This Row],[Circulatory deaths]]-weekly_deaths_location_cause_and_excess_deaths_hospital[[#This Row],[Circulatory five year average]]</f>
        <v>-37</v>
      </c>
      <c r="P190" s="25">
        <v>68</v>
      </c>
      <c r="Q190" s="25">
        <v>87</v>
      </c>
      <c r="R190" s="25">
        <f>weekly_deaths_location_cause_and_excess_deaths_hospital[[#This Row],[Respiratory deaths]]-weekly_deaths_location_cause_and_excess_deaths_hospital[[#This Row],[Respiratory five year average]]</f>
        <v>-19</v>
      </c>
      <c r="S190" s="25">
        <v>40</v>
      </c>
      <c r="T190" s="52">
        <v>112</v>
      </c>
      <c r="U190" s="52">
        <v>137</v>
      </c>
      <c r="V190" s="25">
        <f>weekly_deaths_location_cause_and_excess_deaths_hospital[[#This Row],[Other causes]]-weekly_deaths_location_cause_and_excess_deaths_hospital[[#This Row],[Other causes five year average]]</f>
        <v>-25</v>
      </c>
    </row>
    <row r="191" spans="1:22" x14ac:dyDescent="0.35">
      <c r="A191" s="14" t="s">
        <v>85</v>
      </c>
      <c r="B191" s="15">
        <v>14</v>
      </c>
      <c r="C191" s="16">
        <v>43920</v>
      </c>
      <c r="D191" s="57">
        <v>729</v>
      </c>
      <c r="E191" s="2">
        <v>558</v>
      </c>
      <c r="F191" s="2">
        <f>weekly_deaths_location_cause_and_excess_deaths_hospital[[#This Row],[All causes]]-weekly_deaths_location_cause_and_excess_deaths_hospital[[#This Row],[All causes five year average]]</f>
        <v>171</v>
      </c>
      <c r="G191" s="2">
        <v>128</v>
      </c>
      <c r="H191" s="2">
        <v>139</v>
      </c>
      <c r="I191" s="2">
        <f>weekly_deaths_location_cause_and_excess_deaths_hospital[[#This Row],[Cancer deaths]]-weekly_deaths_location_cause_and_excess_deaths_hospital[[#This Row],[Cancer five year average]]</f>
        <v>-11</v>
      </c>
      <c r="J191" s="2">
        <v>26</v>
      </c>
      <c r="K191" s="2">
        <v>25</v>
      </c>
      <c r="L191" s="2">
        <f>weekly_deaths_location_cause_and_excess_deaths_hospital[[#This Row],[Dementia / Alzhemier''s deaths]]-weekly_deaths_location_cause_and_excess_deaths_hospital[[#This Row],[Dementia / Alzheimer''s five year average]]</f>
        <v>1</v>
      </c>
      <c r="M191" s="25">
        <v>158</v>
      </c>
      <c r="N191" s="25">
        <v>153</v>
      </c>
      <c r="O191" s="25">
        <f>weekly_deaths_location_cause_and_excess_deaths_hospital[[#This Row],[Circulatory deaths]]-weekly_deaths_location_cause_and_excess_deaths_hospital[[#This Row],[Circulatory five year average]]</f>
        <v>5</v>
      </c>
      <c r="P191" s="25">
        <v>82</v>
      </c>
      <c r="Q191" s="25">
        <v>94</v>
      </c>
      <c r="R191" s="25">
        <f>weekly_deaths_location_cause_and_excess_deaths_hospital[[#This Row],[Respiratory deaths]]-weekly_deaths_location_cause_and_excess_deaths_hospital[[#This Row],[Respiratory five year average]]</f>
        <v>-12</v>
      </c>
      <c r="S191" s="25">
        <v>179</v>
      </c>
      <c r="T191" s="52">
        <v>156</v>
      </c>
      <c r="U191" s="52">
        <v>148</v>
      </c>
      <c r="V191" s="25">
        <f>weekly_deaths_location_cause_and_excess_deaths_hospital[[#This Row],[Other causes]]-weekly_deaths_location_cause_and_excess_deaths_hospital[[#This Row],[Other causes five year average]]</f>
        <v>8</v>
      </c>
    </row>
    <row r="192" spans="1:22" x14ac:dyDescent="0.35">
      <c r="A192" s="14" t="s">
        <v>85</v>
      </c>
      <c r="B192" s="15">
        <v>15</v>
      </c>
      <c r="C192" s="16">
        <v>43927</v>
      </c>
      <c r="D192" s="57">
        <v>772</v>
      </c>
      <c r="E192" s="2">
        <v>554</v>
      </c>
      <c r="F192" s="2">
        <f>weekly_deaths_location_cause_and_excess_deaths_hospital[[#This Row],[All causes]]-weekly_deaths_location_cause_and_excess_deaths_hospital[[#This Row],[All causes five year average]]</f>
        <v>218</v>
      </c>
      <c r="G192" s="2">
        <v>115</v>
      </c>
      <c r="H192" s="2">
        <v>146</v>
      </c>
      <c r="I192" s="2">
        <f>weekly_deaths_location_cause_and_excess_deaths_hospital[[#This Row],[Cancer deaths]]-weekly_deaths_location_cause_and_excess_deaths_hospital[[#This Row],[Cancer five year average]]</f>
        <v>-31</v>
      </c>
      <c r="J192" s="2">
        <v>13</v>
      </c>
      <c r="K192" s="2">
        <v>25</v>
      </c>
      <c r="L192" s="2">
        <f>weekly_deaths_location_cause_and_excess_deaths_hospital[[#This Row],[Dementia / Alzhemier''s deaths]]-weekly_deaths_location_cause_and_excess_deaths_hospital[[#This Row],[Dementia / Alzheimer''s five year average]]</f>
        <v>-12</v>
      </c>
      <c r="M192" s="25">
        <v>121</v>
      </c>
      <c r="N192" s="25">
        <v>154</v>
      </c>
      <c r="O192" s="25">
        <f>weekly_deaths_location_cause_and_excess_deaths_hospital[[#This Row],[Circulatory deaths]]-weekly_deaths_location_cause_and_excess_deaths_hospital[[#This Row],[Circulatory five year average]]</f>
        <v>-33</v>
      </c>
      <c r="P192" s="25">
        <v>62</v>
      </c>
      <c r="Q192" s="25">
        <v>90</v>
      </c>
      <c r="R192" s="25">
        <f>weekly_deaths_location_cause_and_excess_deaths_hospital[[#This Row],[Respiratory deaths]]-weekly_deaths_location_cause_and_excess_deaths_hospital[[#This Row],[Respiratory five year average]]</f>
        <v>-28</v>
      </c>
      <c r="S192" s="25">
        <v>346</v>
      </c>
      <c r="T192" s="52">
        <v>115</v>
      </c>
      <c r="U192" s="52">
        <v>138</v>
      </c>
      <c r="V192" s="25">
        <f>weekly_deaths_location_cause_and_excess_deaths_hospital[[#This Row],[Other causes]]-weekly_deaths_location_cause_and_excess_deaths_hospital[[#This Row],[Other causes five year average]]</f>
        <v>-23</v>
      </c>
    </row>
    <row r="193" spans="1:22" x14ac:dyDescent="0.35">
      <c r="A193" s="14" t="s">
        <v>85</v>
      </c>
      <c r="B193" s="15">
        <v>16</v>
      </c>
      <c r="C193" s="16">
        <v>43934</v>
      </c>
      <c r="D193" s="57">
        <v>700</v>
      </c>
      <c r="E193" s="2">
        <v>536</v>
      </c>
      <c r="F193" s="2">
        <f>weekly_deaths_location_cause_and_excess_deaths_hospital[[#This Row],[All causes]]-weekly_deaths_location_cause_and_excess_deaths_hospital[[#This Row],[All causes five year average]]</f>
        <v>164</v>
      </c>
      <c r="G193" s="2">
        <v>94</v>
      </c>
      <c r="H193" s="2">
        <v>143</v>
      </c>
      <c r="I193" s="2">
        <f>weekly_deaths_location_cause_and_excess_deaths_hospital[[#This Row],[Cancer deaths]]-weekly_deaths_location_cause_and_excess_deaths_hospital[[#This Row],[Cancer five year average]]</f>
        <v>-49</v>
      </c>
      <c r="J193" s="2">
        <v>18</v>
      </c>
      <c r="K193" s="2">
        <v>23</v>
      </c>
      <c r="L193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193" s="25">
        <v>108</v>
      </c>
      <c r="N193" s="25">
        <v>150</v>
      </c>
      <c r="O193" s="25">
        <f>weekly_deaths_location_cause_and_excess_deaths_hospital[[#This Row],[Circulatory deaths]]-weekly_deaths_location_cause_and_excess_deaths_hospital[[#This Row],[Circulatory five year average]]</f>
        <v>-42</v>
      </c>
      <c r="P193" s="25">
        <v>42</v>
      </c>
      <c r="Q193" s="25">
        <v>82</v>
      </c>
      <c r="R193" s="25">
        <f>weekly_deaths_location_cause_and_excess_deaths_hospital[[#This Row],[Respiratory deaths]]-weekly_deaths_location_cause_and_excess_deaths_hospital[[#This Row],[Respiratory five year average]]</f>
        <v>-40</v>
      </c>
      <c r="S193" s="25">
        <v>301</v>
      </c>
      <c r="T193" s="52">
        <v>137</v>
      </c>
      <c r="U193" s="52">
        <v>137</v>
      </c>
      <c r="V193" s="25">
        <f>weekly_deaths_location_cause_and_excess_deaths_hospital[[#This Row],[Other causes]]-weekly_deaths_location_cause_and_excess_deaths_hospital[[#This Row],[Other causes five year average]]</f>
        <v>0</v>
      </c>
    </row>
    <row r="194" spans="1:22" x14ac:dyDescent="0.35">
      <c r="A194" s="14" t="s">
        <v>85</v>
      </c>
      <c r="B194" s="15">
        <v>17</v>
      </c>
      <c r="C194" s="16">
        <v>43941</v>
      </c>
      <c r="D194" s="57">
        <v>635</v>
      </c>
      <c r="E194" s="2">
        <v>539</v>
      </c>
      <c r="F194" s="2">
        <f>weekly_deaths_location_cause_and_excess_deaths_hospital[[#This Row],[All causes]]-weekly_deaths_location_cause_and_excess_deaths_hospital[[#This Row],[All causes five year average]]</f>
        <v>96</v>
      </c>
      <c r="G194" s="2">
        <v>95</v>
      </c>
      <c r="H194" s="2">
        <v>141</v>
      </c>
      <c r="I194" s="2">
        <f>weekly_deaths_location_cause_and_excess_deaths_hospital[[#This Row],[Cancer deaths]]-weekly_deaths_location_cause_and_excess_deaths_hospital[[#This Row],[Cancer five year average]]</f>
        <v>-46</v>
      </c>
      <c r="J194" s="2">
        <v>7</v>
      </c>
      <c r="K194" s="2">
        <v>23</v>
      </c>
      <c r="L194" s="2">
        <f>weekly_deaths_location_cause_and_excess_deaths_hospital[[#This Row],[Dementia / Alzhemier''s deaths]]-weekly_deaths_location_cause_and_excess_deaths_hospital[[#This Row],[Dementia / Alzheimer''s five year average]]</f>
        <v>-16</v>
      </c>
      <c r="M194" s="25">
        <v>106</v>
      </c>
      <c r="N194" s="25">
        <v>150</v>
      </c>
      <c r="O194" s="25">
        <f>weekly_deaths_location_cause_and_excess_deaths_hospital[[#This Row],[Circulatory deaths]]-weekly_deaths_location_cause_and_excess_deaths_hospital[[#This Row],[Circulatory five year average]]</f>
        <v>-44</v>
      </c>
      <c r="P194" s="25">
        <v>48</v>
      </c>
      <c r="Q194" s="25">
        <v>83</v>
      </c>
      <c r="R194" s="25">
        <f>weekly_deaths_location_cause_and_excess_deaths_hospital[[#This Row],[Respiratory deaths]]-weekly_deaths_location_cause_and_excess_deaths_hospital[[#This Row],[Respiratory five year average]]</f>
        <v>-35</v>
      </c>
      <c r="S194" s="25">
        <v>263</v>
      </c>
      <c r="T194" s="52">
        <v>116</v>
      </c>
      <c r="U194" s="52">
        <v>142</v>
      </c>
      <c r="V194" s="25">
        <f>weekly_deaths_location_cause_and_excess_deaths_hospital[[#This Row],[Other causes]]-weekly_deaths_location_cause_and_excess_deaths_hospital[[#This Row],[Other causes five year average]]</f>
        <v>-26</v>
      </c>
    </row>
    <row r="195" spans="1:22" x14ac:dyDescent="0.35">
      <c r="A195" s="14" t="s">
        <v>85</v>
      </c>
      <c r="B195" s="15">
        <v>18</v>
      </c>
      <c r="C195" s="16">
        <v>43948</v>
      </c>
      <c r="D195" s="57">
        <v>529</v>
      </c>
      <c r="E195" s="2">
        <v>528</v>
      </c>
      <c r="F195" s="2">
        <f>weekly_deaths_location_cause_and_excess_deaths_hospital[[#This Row],[All causes]]-weekly_deaths_location_cause_and_excess_deaths_hospital[[#This Row],[All causes five year average]]</f>
        <v>1</v>
      </c>
      <c r="G195" s="2">
        <v>93</v>
      </c>
      <c r="H195" s="2">
        <v>148</v>
      </c>
      <c r="I195" s="2">
        <f>weekly_deaths_location_cause_and_excess_deaths_hospital[[#This Row],[Cancer deaths]]-weekly_deaths_location_cause_and_excess_deaths_hospital[[#This Row],[Cancer five year average]]</f>
        <v>-55</v>
      </c>
      <c r="J195" s="2">
        <v>11</v>
      </c>
      <c r="K195" s="2">
        <v>27</v>
      </c>
      <c r="L195" s="2">
        <f>weekly_deaths_location_cause_and_excess_deaths_hospital[[#This Row],[Dementia / Alzhemier''s deaths]]-weekly_deaths_location_cause_and_excess_deaths_hospital[[#This Row],[Dementia / Alzheimer''s five year average]]</f>
        <v>-16</v>
      </c>
      <c r="M195" s="25">
        <v>100</v>
      </c>
      <c r="N195" s="25">
        <v>141</v>
      </c>
      <c r="O195" s="25">
        <f>weekly_deaths_location_cause_and_excess_deaths_hospital[[#This Row],[Circulatory deaths]]-weekly_deaths_location_cause_and_excess_deaths_hospital[[#This Row],[Circulatory five year average]]</f>
        <v>-41</v>
      </c>
      <c r="P195" s="25">
        <v>48</v>
      </c>
      <c r="Q195" s="25">
        <v>75</v>
      </c>
      <c r="R195" s="25">
        <f>weekly_deaths_location_cause_and_excess_deaths_hospital[[#This Row],[Respiratory deaths]]-weekly_deaths_location_cause_and_excess_deaths_hospital[[#This Row],[Respiratory five year average]]</f>
        <v>-27</v>
      </c>
      <c r="S195" s="25">
        <v>177</v>
      </c>
      <c r="T195" s="52">
        <v>100</v>
      </c>
      <c r="U195" s="52">
        <v>137</v>
      </c>
      <c r="V195" s="25">
        <f>weekly_deaths_location_cause_and_excess_deaths_hospital[[#This Row],[Other causes]]-weekly_deaths_location_cause_and_excess_deaths_hospital[[#This Row],[Other causes five year average]]</f>
        <v>-37</v>
      </c>
    </row>
    <row r="196" spans="1:22" x14ac:dyDescent="0.35">
      <c r="A196" s="14" t="s">
        <v>85</v>
      </c>
      <c r="B196" s="15">
        <v>19</v>
      </c>
      <c r="C196" s="16">
        <v>43955</v>
      </c>
      <c r="D196" s="57">
        <v>508</v>
      </c>
      <c r="E196" s="2">
        <v>510</v>
      </c>
      <c r="F196" s="2">
        <f>weekly_deaths_location_cause_and_excess_deaths_hospital[[#This Row],[All causes]]-weekly_deaths_location_cause_and_excess_deaths_hospital[[#This Row],[All causes five year average]]</f>
        <v>-2</v>
      </c>
      <c r="G196" s="2">
        <v>90</v>
      </c>
      <c r="H196" s="2">
        <v>135</v>
      </c>
      <c r="I196" s="2">
        <f>weekly_deaths_location_cause_and_excess_deaths_hospital[[#This Row],[Cancer deaths]]-weekly_deaths_location_cause_and_excess_deaths_hospital[[#This Row],[Cancer five year average]]</f>
        <v>-45</v>
      </c>
      <c r="J196" s="2">
        <v>9</v>
      </c>
      <c r="K196" s="2">
        <v>23</v>
      </c>
      <c r="L196" s="2">
        <f>weekly_deaths_location_cause_and_excess_deaths_hospital[[#This Row],[Dementia / Alzhemier''s deaths]]-weekly_deaths_location_cause_and_excess_deaths_hospital[[#This Row],[Dementia / Alzheimer''s five year average]]</f>
        <v>-14</v>
      </c>
      <c r="M196" s="25">
        <v>101</v>
      </c>
      <c r="N196" s="25">
        <v>148</v>
      </c>
      <c r="O196" s="25">
        <f>weekly_deaths_location_cause_and_excess_deaths_hospital[[#This Row],[Circulatory deaths]]-weekly_deaths_location_cause_and_excess_deaths_hospital[[#This Row],[Circulatory five year average]]</f>
        <v>-47</v>
      </c>
      <c r="P196" s="25">
        <v>36</v>
      </c>
      <c r="Q196" s="25">
        <v>76</v>
      </c>
      <c r="R196" s="25">
        <f>weekly_deaths_location_cause_and_excess_deaths_hospital[[#This Row],[Respiratory deaths]]-weekly_deaths_location_cause_and_excess_deaths_hospital[[#This Row],[Respiratory five year average]]</f>
        <v>-40</v>
      </c>
      <c r="S196" s="25">
        <v>137</v>
      </c>
      <c r="T196" s="52">
        <v>135</v>
      </c>
      <c r="U196" s="52">
        <v>127</v>
      </c>
      <c r="V196" s="25">
        <f>weekly_deaths_location_cause_and_excess_deaths_hospital[[#This Row],[Other causes]]-weekly_deaths_location_cause_and_excess_deaths_hospital[[#This Row],[Other causes five year average]]</f>
        <v>8</v>
      </c>
    </row>
    <row r="197" spans="1:22" x14ac:dyDescent="0.35">
      <c r="A197" s="14" t="s">
        <v>85</v>
      </c>
      <c r="B197" s="15">
        <v>20</v>
      </c>
      <c r="C197" s="16">
        <v>43962</v>
      </c>
      <c r="D197" s="57">
        <v>510</v>
      </c>
      <c r="E197" s="2">
        <v>532</v>
      </c>
      <c r="F197" s="2">
        <f>weekly_deaths_location_cause_and_excess_deaths_hospital[[#This Row],[All causes]]-weekly_deaths_location_cause_and_excess_deaths_hospital[[#This Row],[All causes five year average]]</f>
        <v>-22</v>
      </c>
      <c r="G197" s="2">
        <v>105</v>
      </c>
      <c r="H197" s="2">
        <v>146</v>
      </c>
      <c r="I197" s="2">
        <f>weekly_deaths_location_cause_and_excess_deaths_hospital[[#This Row],[Cancer deaths]]-weekly_deaths_location_cause_and_excess_deaths_hospital[[#This Row],[Cancer five year average]]</f>
        <v>-41</v>
      </c>
      <c r="J197" s="2">
        <v>20</v>
      </c>
      <c r="K197" s="2">
        <v>21</v>
      </c>
      <c r="L197" s="2">
        <f>weekly_deaths_location_cause_and_excess_deaths_hospital[[#This Row],[Dementia / Alzhemier''s deaths]]-weekly_deaths_location_cause_and_excess_deaths_hospital[[#This Row],[Dementia / Alzheimer''s five year average]]</f>
        <v>-1</v>
      </c>
      <c r="M197" s="25">
        <v>106</v>
      </c>
      <c r="N197" s="25">
        <v>143</v>
      </c>
      <c r="O197" s="25">
        <f>weekly_deaths_location_cause_and_excess_deaths_hospital[[#This Row],[Circulatory deaths]]-weekly_deaths_location_cause_and_excess_deaths_hospital[[#This Row],[Circulatory five year average]]</f>
        <v>-37</v>
      </c>
      <c r="P197" s="25">
        <v>36</v>
      </c>
      <c r="Q197" s="25">
        <v>83</v>
      </c>
      <c r="R197" s="25">
        <f>weekly_deaths_location_cause_and_excess_deaths_hospital[[#This Row],[Respiratory deaths]]-weekly_deaths_location_cause_and_excess_deaths_hospital[[#This Row],[Respiratory five year average]]</f>
        <v>-47</v>
      </c>
      <c r="S197" s="25">
        <v>108</v>
      </c>
      <c r="T197" s="52">
        <v>135</v>
      </c>
      <c r="U197" s="52">
        <v>139</v>
      </c>
      <c r="V197" s="25">
        <f>weekly_deaths_location_cause_and_excess_deaths_hospital[[#This Row],[Other causes]]-weekly_deaths_location_cause_and_excess_deaths_hospital[[#This Row],[Other causes five year average]]</f>
        <v>-4</v>
      </c>
    </row>
    <row r="198" spans="1:22" x14ac:dyDescent="0.35">
      <c r="A198" s="14" t="s">
        <v>85</v>
      </c>
      <c r="B198" s="15">
        <v>21</v>
      </c>
      <c r="C198" s="16">
        <v>43969</v>
      </c>
      <c r="D198" s="57">
        <v>428</v>
      </c>
      <c r="E198" s="2">
        <v>516</v>
      </c>
      <c r="F198" s="2">
        <f>weekly_deaths_location_cause_and_excess_deaths_hospital[[#This Row],[All causes]]-weekly_deaths_location_cause_and_excess_deaths_hospital[[#This Row],[All causes five year average]]</f>
        <v>-88</v>
      </c>
      <c r="G198" s="2">
        <v>95</v>
      </c>
      <c r="H198" s="2">
        <v>137</v>
      </c>
      <c r="I198" s="2">
        <f>weekly_deaths_location_cause_and_excess_deaths_hospital[[#This Row],[Cancer deaths]]-weekly_deaths_location_cause_and_excess_deaths_hospital[[#This Row],[Cancer five year average]]</f>
        <v>-42</v>
      </c>
      <c r="J198" s="2">
        <v>13</v>
      </c>
      <c r="K198" s="2">
        <v>23</v>
      </c>
      <c r="L198" s="2">
        <f>weekly_deaths_location_cause_and_excess_deaths_hospital[[#This Row],[Dementia / Alzhemier''s deaths]]-weekly_deaths_location_cause_and_excess_deaths_hospital[[#This Row],[Dementia / Alzheimer''s five year average]]</f>
        <v>-10</v>
      </c>
      <c r="M198" s="25">
        <v>97</v>
      </c>
      <c r="N198" s="25">
        <v>149</v>
      </c>
      <c r="O198" s="25">
        <f>weekly_deaths_location_cause_and_excess_deaths_hospital[[#This Row],[Circulatory deaths]]-weekly_deaths_location_cause_and_excess_deaths_hospital[[#This Row],[Circulatory five year average]]</f>
        <v>-52</v>
      </c>
      <c r="P198" s="25">
        <v>30</v>
      </c>
      <c r="Q198" s="25">
        <v>78</v>
      </c>
      <c r="R198" s="25">
        <f>weekly_deaths_location_cause_and_excess_deaths_hospital[[#This Row],[Respiratory deaths]]-weekly_deaths_location_cause_and_excess_deaths_hospital[[#This Row],[Respiratory five year average]]</f>
        <v>-48</v>
      </c>
      <c r="S198" s="25">
        <v>82</v>
      </c>
      <c r="T198" s="52">
        <v>111</v>
      </c>
      <c r="U198" s="52">
        <v>129</v>
      </c>
      <c r="V198" s="25">
        <f>weekly_deaths_location_cause_and_excess_deaths_hospital[[#This Row],[Other causes]]-weekly_deaths_location_cause_and_excess_deaths_hospital[[#This Row],[Other causes five year average]]</f>
        <v>-18</v>
      </c>
    </row>
    <row r="199" spans="1:22" x14ac:dyDescent="0.35">
      <c r="A199" s="14" t="s">
        <v>85</v>
      </c>
      <c r="B199" s="15">
        <v>22</v>
      </c>
      <c r="C199" s="16">
        <v>43976</v>
      </c>
      <c r="D199" s="57">
        <v>431</v>
      </c>
      <c r="E199" s="2">
        <v>498</v>
      </c>
      <c r="F199" s="2">
        <f>weekly_deaths_location_cause_and_excess_deaths_hospital[[#This Row],[All causes]]-weekly_deaths_location_cause_and_excess_deaths_hospital[[#This Row],[All causes five year average]]</f>
        <v>-67</v>
      </c>
      <c r="G199" s="2">
        <v>97</v>
      </c>
      <c r="H199" s="2">
        <v>127</v>
      </c>
      <c r="I199" s="2">
        <f>weekly_deaths_location_cause_and_excess_deaths_hospital[[#This Row],[Cancer deaths]]-weekly_deaths_location_cause_and_excess_deaths_hospital[[#This Row],[Cancer five year average]]</f>
        <v>-30</v>
      </c>
      <c r="J199" s="2">
        <v>9</v>
      </c>
      <c r="K199" s="2">
        <v>23</v>
      </c>
      <c r="L199" s="2">
        <f>weekly_deaths_location_cause_and_excess_deaths_hospital[[#This Row],[Dementia / Alzhemier''s deaths]]-weekly_deaths_location_cause_and_excess_deaths_hospital[[#This Row],[Dementia / Alzheimer''s five year average]]</f>
        <v>-14</v>
      </c>
      <c r="M199" s="25">
        <v>125</v>
      </c>
      <c r="N199" s="25">
        <v>146</v>
      </c>
      <c r="O199" s="25">
        <f>weekly_deaths_location_cause_and_excess_deaths_hospital[[#This Row],[Circulatory deaths]]-weekly_deaths_location_cause_and_excess_deaths_hospital[[#This Row],[Circulatory five year average]]</f>
        <v>-21</v>
      </c>
      <c r="P199" s="25">
        <v>41</v>
      </c>
      <c r="Q199" s="25">
        <v>71</v>
      </c>
      <c r="R199" s="25">
        <f>weekly_deaths_location_cause_and_excess_deaths_hospital[[#This Row],[Respiratory deaths]]-weekly_deaths_location_cause_and_excess_deaths_hospital[[#This Row],[Respiratory five year average]]</f>
        <v>-30</v>
      </c>
      <c r="S199" s="25">
        <v>43</v>
      </c>
      <c r="T199" s="52">
        <v>116</v>
      </c>
      <c r="U199" s="52">
        <v>131</v>
      </c>
      <c r="V199" s="25">
        <f>weekly_deaths_location_cause_and_excess_deaths_hospital[[#This Row],[Other causes]]-weekly_deaths_location_cause_and_excess_deaths_hospital[[#This Row],[Other causes five year average]]</f>
        <v>-15</v>
      </c>
    </row>
    <row r="200" spans="1:22" x14ac:dyDescent="0.35">
      <c r="A200" s="14" t="s">
        <v>85</v>
      </c>
      <c r="B200" s="15">
        <v>23</v>
      </c>
      <c r="C200" s="16">
        <v>43983</v>
      </c>
      <c r="D200" s="57">
        <v>440</v>
      </c>
      <c r="E200" s="2">
        <v>505</v>
      </c>
      <c r="F200" s="2">
        <f>weekly_deaths_location_cause_and_excess_deaths_hospital[[#This Row],[All causes]]-weekly_deaths_location_cause_and_excess_deaths_hospital[[#This Row],[All causes five year average]]</f>
        <v>-65</v>
      </c>
      <c r="G200" s="2">
        <v>110</v>
      </c>
      <c r="H200" s="2">
        <v>139</v>
      </c>
      <c r="I200" s="2">
        <f>weekly_deaths_location_cause_and_excess_deaths_hospital[[#This Row],[Cancer deaths]]-weekly_deaths_location_cause_and_excess_deaths_hospital[[#This Row],[Cancer five year average]]</f>
        <v>-29</v>
      </c>
      <c r="J200" s="2">
        <v>14</v>
      </c>
      <c r="K200" s="2">
        <v>20</v>
      </c>
      <c r="L200" s="2">
        <f>weekly_deaths_location_cause_and_excess_deaths_hospital[[#This Row],[Dementia / Alzhemier''s deaths]]-weekly_deaths_location_cause_and_excess_deaths_hospital[[#This Row],[Dementia / Alzheimer''s five year average]]</f>
        <v>-6</v>
      </c>
      <c r="M200" s="25">
        <v>124</v>
      </c>
      <c r="N200" s="25">
        <v>138</v>
      </c>
      <c r="O200" s="25">
        <f>weekly_deaths_location_cause_and_excess_deaths_hospital[[#This Row],[Circulatory deaths]]-weekly_deaths_location_cause_and_excess_deaths_hospital[[#This Row],[Circulatory five year average]]</f>
        <v>-14</v>
      </c>
      <c r="P200" s="25">
        <v>42</v>
      </c>
      <c r="Q200" s="25">
        <v>73</v>
      </c>
      <c r="R200" s="25">
        <f>weekly_deaths_location_cause_and_excess_deaths_hospital[[#This Row],[Respiratory deaths]]-weekly_deaths_location_cause_and_excess_deaths_hospital[[#This Row],[Respiratory five year average]]</f>
        <v>-31</v>
      </c>
      <c r="S200" s="25">
        <v>31</v>
      </c>
      <c r="T200" s="52">
        <v>119</v>
      </c>
      <c r="U200" s="52">
        <v>135</v>
      </c>
      <c r="V200" s="25">
        <f>weekly_deaths_location_cause_and_excess_deaths_hospital[[#This Row],[Other causes]]-weekly_deaths_location_cause_and_excess_deaths_hospital[[#This Row],[Other causes five year average]]</f>
        <v>-16</v>
      </c>
    </row>
    <row r="201" spans="1:22" x14ac:dyDescent="0.35">
      <c r="A201" s="14" t="s">
        <v>85</v>
      </c>
      <c r="B201" s="15">
        <v>24</v>
      </c>
      <c r="C201" s="16">
        <v>43990</v>
      </c>
      <c r="D201" s="57">
        <v>389</v>
      </c>
      <c r="E201" s="2">
        <v>481</v>
      </c>
      <c r="F201" s="2">
        <f>weekly_deaths_location_cause_and_excess_deaths_hospital[[#This Row],[All causes]]-weekly_deaths_location_cause_and_excess_deaths_hospital[[#This Row],[All causes five year average]]</f>
        <v>-92</v>
      </c>
      <c r="G201" s="2">
        <v>97</v>
      </c>
      <c r="H201" s="2">
        <v>139</v>
      </c>
      <c r="I201" s="2">
        <f>weekly_deaths_location_cause_and_excess_deaths_hospital[[#This Row],[Cancer deaths]]-weekly_deaths_location_cause_and_excess_deaths_hospital[[#This Row],[Cancer five year average]]</f>
        <v>-42</v>
      </c>
      <c r="J201" s="2">
        <v>12</v>
      </c>
      <c r="K201" s="2">
        <v>21</v>
      </c>
      <c r="L201" s="2">
        <f>weekly_deaths_location_cause_and_excess_deaths_hospital[[#This Row],[Dementia / Alzhemier''s deaths]]-weekly_deaths_location_cause_and_excess_deaths_hospital[[#This Row],[Dementia / Alzheimer''s five year average]]</f>
        <v>-9</v>
      </c>
      <c r="M201" s="25">
        <v>103</v>
      </c>
      <c r="N201" s="25">
        <v>130</v>
      </c>
      <c r="O201" s="25">
        <f>weekly_deaths_location_cause_and_excess_deaths_hospital[[#This Row],[Circulatory deaths]]-weekly_deaths_location_cause_and_excess_deaths_hospital[[#This Row],[Circulatory five year average]]</f>
        <v>-27</v>
      </c>
      <c r="P201" s="25">
        <v>44</v>
      </c>
      <c r="Q201" s="25">
        <v>68</v>
      </c>
      <c r="R201" s="25">
        <f>weekly_deaths_location_cause_and_excess_deaths_hospital[[#This Row],[Respiratory deaths]]-weekly_deaths_location_cause_and_excess_deaths_hospital[[#This Row],[Respiratory five year average]]</f>
        <v>-24</v>
      </c>
      <c r="S201" s="25">
        <v>18</v>
      </c>
      <c r="T201" s="52">
        <v>115</v>
      </c>
      <c r="U201" s="52">
        <v>124</v>
      </c>
      <c r="V201" s="25">
        <f>weekly_deaths_location_cause_and_excess_deaths_hospital[[#This Row],[Other causes]]-weekly_deaths_location_cause_and_excess_deaths_hospital[[#This Row],[Other causes five year average]]</f>
        <v>-9</v>
      </c>
    </row>
    <row r="202" spans="1:22" x14ac:dyDescent="0.35">
      <c r="A202" s="14" t="s">
        <v>85</v>
      </c>
      <c r="B202" s="15">
        <v>25</v>
      </c>
      <c r="C202" s="16">
        <v>43997</v>
      </c>
      <c r="D202" s="57">
        <v>436</v>
      </c>
      <c r="E202" s="2">
        <v>514</v>
      </c>
      <c r="F202" s="2">
        <f>weekly_deaths_location_cause_and_excess_deaths_hospital[[#This Row],[All causes]]-weekly_deaths_location_cause_and_excess_deaths_hospital[[#This Row],[All causes five year average]]</f>
        <v>-78</v>
      </c>
      <c r="G202" s="2">
        <v>106</v>
      </c>
      <c r="H202" s="2">
        <v>139</v>
      </c>
      <c r="I202" s="2">
        <f>weekly_deaths_location_cause_and_excess_deaths_hospital[[#This Row],[Cancer deaths]]-weekly_deaths_location_cause_and_excess_deaths_hospital[[#This Row],[Cancer five year average]]</f>
        <v>-33</v>
      </c>
      <c r="J202" s="2">
        <v>17</v>
      </c>
      <c r="K202" s="2">
        <v>23</v>
      </c>
      <c r="L202" s="2">
        <f>weekly_deaths_location_cause_and_excess_deaths_hospital[[#This Row],[Dementia / Alzhemier''s deaths]]-weekly_deaths_location_cause_and_excess_deaths_hospital[[#This Row],[Dementia / Alzheimer''s five year average]]</f>
        <v>-6</v>
      </c>
      <c r="M202" s="25">
        <v>124</v>
      </c>
      <c r="N202" s="25">
        <v>141</v>
      </c>
      <c r="O202" s="25">
        <f>weekly_deaths_location_cause_and_excess_deaths_hospital[[#This Row],[Circulatory deaths]]-weekly_deaths_location_cause_and_excess_deaths_hospital[[#This Row],[Circulatory five year average]]</f>
        <v>-17</v>
      </c>
      <c r="P202" s="25">
        <v>60</v>
      </c>
      <c r="Q202" s="25">
        <v>75</v>
      </c>
      <c r="R202" s="25">
        <f>weekly_deaths_location_cause_and_excess_deaths_hospital[[#This Row],[Respiratory deaths]]-weekly_deaths_location_cause_and_excess_deaths_hospital[[#This Row],[Respiratory five year average]]</f>
        <v>-15</v>
      </c>
      <c r="S202" s="25">
        <v>21</v>
      </c>
      <c r="T202" s="52">
        <v>108</v>
      </c>
      <c r="U202" s="52">
        <v>136</v>
      </c>
      <c r="V202" s="25">
        <f>weekly_deaths_location_cause_and_excess_deaths_hospital[[#This Row],[Other causes]]-weekly_deaths_location_cause_and_excess_deaths_hospital[[#This Row],[Other causes five year average]]</f>
        <v>-28</v>
      </c>
    </row>
    <row r="203" spans="1:22" x14ac:dyDescent="0.35">
      <c r="A203" s="14" t="s">
        <v>85</v>
      </c>
      <c r="B203" s="15">
        <v>26</v>
      </c>
      <c r="C203" s="16">
        <v>44004</v>
      </c>
      <c r="D203" s="57">
        <v>399</v>
      </c>
      <c r="E203" s="2">
        <v>505</v>
      </c>
      <c r="F203" s="2">
        <f>weekly_deaths_location_cause_and_excess_deaths_hospital[[#This Row],[All causes]]-weekly_deaths_location_cause_and_excess_deaths_hospital[[#This Row],[All causes five year average]]</f>
        <v>-106</v>
      </c>
      <c r="G203" s="2">
        <v>107</v>
      </c>
      <c r="H203" s="2">
        <v>145</v>
      </c>
      <c r="I203" s="2">
        <f>weekly_deaths_location_cause_and_excess_deaths_hospital[[#This Row],[Cancer deaths]]-weekly_deaths_location_cause_and_excess_deaths_hospital[[#This Row],[Cancer five year average]]</f>
        <v>-38</v>
      </c>
      <c r="J203" s="2">
        <v>18</v>
      </c>
      <c r="K203" s="2">
        <v>23</v>
      </c>
      <c r="L203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203" s="25">
        <v>100</v>
      </c>
      <c r="N203" s="25">
        <v>138</v>
      </c>
      <c r="O203" s="25">
        <f>weekly_deaths_location_cause_and_excess_deaths_hospital[[#This Row],[Circulatory deaths]]-weekly_deaths_location_cause_and_excess_deaths_hospital[[#This Row],[Circulatory five year average]]</f>
        <v>-38</v>
      </c>
      <c r="P203" s="25">
        <v>44</v>
      </c>
      <c r="Q203" s="25">
        <v>69</v>
      </c>
      <c r="R203" s="25">
        <f>weekly_deaths_location_cause_and_excess_deaths_hospital[[#This Row],[Respiratory deaths]]-weekly_deaths_location_cause_and_excess_deaths_hospital[[#This Row],[Respiratory five year average]]</f>
        <v>-25</v>
      </c>
      <c r="S203" s="25">
        <v>11</v>
      </c>
      <c r="T203" s="52">
        <v>119</v>
      </c>
      <c r="U203" s="52">
        <v>129</v>
      </c>
      <c r="V203" s="25">
        <f>weekly_deaths_location_cause_and_excess_deaths_hospital[[#This Row],[Other causes]]-weekly_deaths_location_cause_and_excess_deaths_hospital[[#This Row],[Other causes five year average]]</f>
        <v>-10</v>
      </c>
    </row>
    <row r="204" spans="1:22" x14ac:dyDescent="0.35">
      <c r="A204" s="14" t="s">
        <v>85</v>
      </c>
      <c r="B204" s="15">
        <v>27</v>
      </c>
      <c r="C204" s="16">
        <v>44011</v>
      </c>
      <c r="D204" s="57">
        <v>403</v>
      </c>
      <c r="E204" s="2">
        <v>508</v>
      </c>
      <c r="F204" s="2">
        <f>weekly_deaths_location_cause_and_excess_deaths_hospital[[#This Row],[All causes]]-weekly_deaths_location_cause_and_excess_deaths_hospital[[#This Row],[All causes five year average]]</f>
        <v>-105</v>
      </c>
      <c r="G204" s="2">
        <v>102</v>
      </c>
      <c r="H204" s="2">
        <v>141</v>
      </c>
      <c r="I204" s="2">
        <f>weekly_deaths_location_cause_and_excess_deaths_hospital[[#This Row],[Cancer deaths]]-weekly_deaths_location_cause_and_excess_deaths_hospital[[#This Row],[Cancer five year average]]</f>
        <v>-39</v>
      </c>
      <c r="J204" s="2">
        <v>13</v>
      </c>
      <c r="K204" s="2">
        <v>25</v>
      </c>
      <c r="L204" s="2">
        <f>weekly_deaths_location_cause_and_excess_deaths_hospital[[#This Row],[Dementia / Alzhemier''s deaths]]-weekly_deaths_location_cause_and_excess_deaths_hospital[[#This Row],[Dementia / Alzheimer''s five year average]]</f>
        <v>-12</v>
      </c>
      <c r="M204" s="25">
        <v>112</v>
      </c>
      <c r="N204" s="25">
        <v>133</v>
      </c>
      <c r="O204" s="25">
        <f>weekly_deaths_location_cause_and_excess_deaths_hospital[[#This Row],[Circulatory deaths]]-weekly_deaths_location_cause_and_excess_deaths_hospital[[#This Row],[Circulatory five year average]]</f>
        <v>-21</v>
      </c>
      <c r="P204" s="25">
        <v>48</v>
      </c>
      <c r="Q204" s="25">
        <v>71</v>
      </c>
      <c r="R204" s="25">
        <f>weekly_deaths_location_cause_and_excess_deaths_hospital[[#This Row],[Respiratory deaths]]-weekly_deaths_location_cause_and_excess_deaths_hospital[[#This Row],[Respiratory five year average]]</f>
        <v>-23</v>
      </c>
      <c r="S204" s="25">
        <v>7</v>
      </c>
      <c r="T204" s="52">
        <v>121</v>
      </c>
      <c r="U204" s="52">
        <v>137</v>
      </c>
      <c r="V204" s="25">
        <f>weekly_deaths_location_cause_and_excess_deaths_hospital[[#This Row],[Other causes]]-weekly_deaths_location_cause_and_excess_deaths_hospital[[#This Row],[Other causes five year average]]</f>
        <v>-16</v>
      </c>
    </row>
    <row r="205" spans="1:22" x14ac:dyDescent="0.35">
      <c r="A205" s="14" t="s">
        <v>85</v>
      </c>
      <c r="B205" s="15">
        <v>28</v>
      </c>
      <c r="C205" s="16">
        <v>44018</v>
      </c>
      <c r="D205" s="57">
        <v>396</v>
      </c>
      <c r="E205" s="2">
        <v>510</v>
      </c>
      <c r="F205" s="2">
        <f>weekly_deaths_location_cause_and_excess_deaths_hospital[[#This Row],[All causes]]-weekly_deaths_location_cause_and_excess_deaths_hospital[[#This Row],[All causes five year average]]</f>
        <v>-114</v>
      </c>
      <c r="G205" s="2">
        <v>106</v>
      </c>
      <c r="H205" s="2">
        <v>138</v>
      </c>
      <c r="I205" s="2">
        <f>weekly_deaths_location_cause_and_excess_deaths_hospital[[#This Row],[Cancer deaths]]-weekly_deaths_location_cause_and_excess_deaths_hospital[[#This Row],[Cancer five year average]]</f>
        <v>-32</v>
      </c>
      <c r="J205" s="2">
        <v>13</v>
      </c>
      <c r="K205" s="2">
        <v>21</v>
      </c>
      <c r="L205" s="2">
        <f>weekly_deaths_location_cause_and_excess_deaths_hospital[[#This Row],[Dementia / Alzhemier''s deaths]]-weekly_deaths_location_cause_and_excess_deaths_hospital[[#This Row],[Dementia / Alzheimer''s five year average]]</f>
        <v>-8</v>
      </c>
      <c r="M205" s="25">
        <v>121</v>
      </c>
      <c r="N205" s="25">
        <v>144</v>
      </c>
      <c r="O205" s="25">
        <f>weekly_deaths_location_cause_and_excess_deaths_hospital[[#This Row],[Circulatory deaths]]-weekly_deaths_location_cause_and_excess_deaths_hospital[[#This Row],[Circulatory five year average]]</f>
        <v>-23</v>
      </c>
      <c r="P205" s="25">
        <v>46</v>
      </c>
      <c r="Q205" s="25">
        <v>65</v>
      </c>
      <c r="R205" s="25">
        <f>weekly_deaths_location_cause_and_excess_deaths_hospital[[#This Row],[Respiratory deaths]]-weekly_deaths_location_cause_and_excess_deaths_hospital[[#This Row],[Respiratory five year average]]</f>
        <v>-19</v>
      </c>
      <c r="S205" s="25">
        <v>2</v>
      </c>
      <c r="T205" s="52">
        <v>108</v>
      </c>
      <c r="U205" s="52">
        <v>142</v>
      </c>
      <c r="V205" s="25">
        <f>weekly_deaths_location_cause_and_excess_deaths_hospital[[#This Row],[Other causes]]-weekly_deaths_location_cause_and_excess_deaths_hospital[[#This Row],[Other causes five year average]]</f>
        <v>-34</v>
      </c>
    </row>
    <row r="206" spans="1:22" x14ac:dyDescent="0.35">
      <c r="A206" s="14" t="s">
        <v>85</v>
      </c>
      <c r="B206" s="15">
        <v>29</v>
      </c>
      <c r="C206" s="16">
        <v>44025</v>
      </c>
      <c r="D206" s="57">
        <v>439</v>
      </c>
      <c r="E206" s="2">
        <v>481</v>
      </c>
      <c r="F206" s="2">
        <f>weekly_deaths_location_cause_and_excess_deaths_hospital[[#This Row],[All causes]]-weekly_deaths_location_cause_and_excess_deaths_hospital[[#This Row],[All causes five year average]]</f>
        <v>-42</v>
      </c>
      <c r="G206" s="2">
        <v>114</v>
      </c>
      <c r="H206" s="2">
        <v>129</v>
      </c>
      <c r="I206" s="2">
        <f>weekly_deaths_location_cause_and_excess_deaths_hospital[[#This Row],[Cancer deaths]]-weekly_deaths_location_cause_and_excess_deaths_hospital[[#This Row],[Cancer five year average]]</f>
        <v>-15</v>
      </c>
      <c r="J206" s="2">
        <v>16</v>
      </c>
      <c r="K206" s="2">
        <v>20</v>
      </c>
      <c r="L206" s="2">
        <f>weekly_deaths_location_cause_and_excess_deaths_hospital[[#This Row],[Dementia / Alzhemier''s deaths]]-weekly_deaths_location_cause_and_excess_deaths_hospital[[#This Row],[Dementia / Alzheimer''s five year average]]</f>
        <v>-4</v>
      </c>
      <c r="M206" s="25">
        <v>122</v>
      </c>
      <c r="N206" s="25">
        <v>136</v>
      </c>
      <c r="O206" s="25">
        <f>weekly_deaths_location_cause_and_excess_deaths_hospital[[#This Row],[Circulatory deaths]]-weekly_deaths_location_cause_and_excess_deaths_hospital[[#This Row],[Circulatory five year average]]</f>
        <v>-14</v>
      </c>
      <c r="P206" s="25">
        <v>45</v>
      </c>
      <c r="Q206" s="25">
        <v>63</v>
      </c>
      <c r="R206" s="25">
        <f>weekly_deaths_location_cause_and_excess_deaths_hospital[[#This Row],[Respiratory deaths]]-weekly_deaths_location_cause_and_excess_deaths_hospital[[#This Row],[Respiratory five year average]]</f>
        <v>-18</v>
      </c>
      <c r="S206" s="25">
        <v>2</v>
      </c>
      <c r="T206" s="52">
        <v>140</v>
      </c>
      <c r="U206" s="52">
        <v>133</v>
      </c>
      <c r="V206" s="25">
        <f>weekly_deaths_location_cause_and_excess_deaths_hospital[[#This Row],[Other causes]]-weekly_deaths_location_cause_and_excess_deaths_hospital[[#This Row],[Other causes five year average]]</f>
        <v>7</v>
      </c>
    </row>
    <row r="207" spans="1:22" x14ac:dyDescent="0.35">
      <c r="A207" s="14" t="s">
        <v>85</v>
      </c>
      <c r="B207" s="15">
        <v>30</v>
      </c>
      <c r="C207" s="16">
        <v>44032</v>
      </c>
      <c r="D207" s="57">
        <v>375</v>
      </c>
      <c r="E207" s="2">
        <v>484</v>
      </c>
      <c r="F207" s="2">
        <f>weekly_deaths_location_cause_and_excess_deaths_hospital[[#This Row],[All causes]]-weekly_deaths_location_cause_and_excess_deaths_hospital[[#This Row],[All causes five year average]]</f>
        <v>-109</v>
      </c>
      <c r="G207" s="2">
        <v>101</v>
      </c>
      <c r="H207" s="2">
        <v>150</v>
      </c>
      <c r="I207" s="2">
        <f>weekly_deaths_location_cause_and_excess_deaths_hospital[[#This Row],[Cancer deaths]]-weekly_deaths_location_cause_and_excess_deaths_hospital[[#This Row],[Cancer five year average]]</f>
        <v>-49</v>
      </c>
      <c r="J207" s="2">
        <v>12</v>
      </c>
      <c r="K207" s="2">
        <v>18</v>
      </c>
      <c r="L207" s="2">
        <f>weekly_deaths_location_cause_and_excess_deaths_hospital[[#This Row],[Dementia / Alzhemier''s deaths]]-weekly_deaths_location_cause_and_excess_deaths_hospital[[#This Row],[Dementia / Alzheimer''s five year average]]</f>
        <v>-6</v>
      </c>
      <c r="M207" s="25">
        <v>108</v>
      </c>
      <c r="N207" s="25">
        <v>120</v>
      </c>
      <c r="O207" s="25">
        <f>weekly_deaths_location_cause_and_excess_deaths_hospital[[#This Row],[Circulatory deaths]]-weekly_deaths_location_cause_and_excess_deaths_hospital[[#This Row],[Circulatory five year average]]</f>
        <v>-12</v>
      </c>
      <c r="P207" s="25">
        <v>38</v>
      </c>
      <c r="Q207" s="25">
        <v>66</v>
      </c>
      <c r="R207" s="25">
        <f>weekly_deaths_location_cause_and_excess_deaths_hospital[[#This Row],[Respiratory deaths]]-weekly_deaths_location_cause_and_excess_deaths_hospital[[#This Row],[Respiratory five year average]]</f>
        <v>-28</v>
      </c>
      <c r="S207" s="25">
        <v>2</v>
      </c>
      <c r="T207" s="52">
        <v>114</v>
      </c>
      <c r="U207" s="52">
        <v>130</v>
      </c>
      <c r="V207" s="25">
        <f>weekly_deaths_location_cause_and_excess_deaths_hospital[[#This Row],[Other causes]]-weekly_deaths_location_cause_and_excess_deaths_hospital[[#This Row],[Other causes five year average]]</f>
        <v>-16</v>
      </c>
    </row>
    <row r="208" spans="1:22" x14ac:dyDescent="0.35">
      <c r="A208" s="14" t="s">
        <v>85</v>
      </c>
      <c r="B208" s="15">
        <v>31</v>
      </c>
      <c r="C208" s="16">
        <v>44039</v>
      </c>
      <c r="D208" s="57">
        <v>445</v>
      </c>
      <c r="E208" s="2">
        <v>498</v>
      </c>
      <c r="F208" s="2">
        <f>weekly_deaths_location_cause_and_excess_deaths_hospital[[#This Row],[All causes]]-weekly_deaths_location_cause_and_excess_deaths_hospital[[#This Row],[All causes five year average]]</f>
        <v>-53</v>
      </c>
      <c r="G208" s="2">
        <v>103</v>
      </c>
      <c r="H208" s="2">
        <v>144</v>
      </c>
      <c r="I208" s="2">
        <f>weekly_deaths_location_cause_and_excess_deaths_hospital[[#This Row],[Cancer deaths]]-weekly_deaths_location_cause_and_excess_deaths_hospital[[#This Row],[Cancer five year average]]</f>
        <v>-41</v>
      </c>
      <c r="J208" s="2">
        <v>17</v>
      </c>
      <c r="K208" s="2">
        <v>26</v>
      </c>
      <c r="L208" s="2">
        <f>weekly_deaths_location_cause_and_excess_deaths_hospital[[#This Row],[Dementia / Alzhemier''s deaths]]-weekly_deaths_location_cause_and_excess_deaths_hospital[[#This Row],[Dementia / Alzheimer''s five year average]]</f>
        <v>-9</v>
      </c>
      <c r="M208" s="25">
        <v>127</v>
      </c>
      <c r="N208" s="25">
        <v>129</v>
      </c>
      <c r="O208" s="25">
        <f>weekly_deaths_location_cause_and_excess_deaths_hospital[[#This Row],[Circulatory deaths]]-weekly_deaths_location_cause_and_excess_deaths_hospital[[#This Row],[Circulatory five year average]]</f>
        <v>-2</v>
      </c>
      <c r="P208" s="25">
        <v>53</v>
      </c>
      <c r="Q208" s="25">
        <v>64</v>
      </c>
      <c r="R208" s="25">
        <f>weekly_deaths_location_cause_and_excess_deaths_hospital[[#This Row],[Respiratory deaths]]-weekly_deaths_location_cause_and_excess_deaths_hospital[[#This Row],[Respiratory five year average]]</f>
        <v>-11</v>
      </c>
      <c r="S208" s="25">
        <v>2</v>
      </c>
      <c r="T208" s="52">
        <v>143</v>
      </c>
      <c r="U208" s="52">
        <v>135</v>
      </c>
      <c r="V208" s="25">
        <f>weekly_deaths_location_cause_and_excess_deaths_hospital[[#This Row],[Other causes]]-weekly_deaths_location_cause_and_excess_deaths_hospital[[#This Row],[Other causes five year average]]</f>
        <v>8</v>
      </c>
    </row>
    <row r="209" spans="1:22" x14ac:dyDescent="0.35">
      <c r="A209" s="14" t="s">
        <v>85</v>
      </c>
      <c r="B209" s="15">
        <v>32</v>
      </c>
      <c r="C209" s="16">
        <v>44046</v>
      </c>
      <c r="D209" s="57">
        <v>420</v>
      </c>
      <c r="E209" s="2">
        <v>488</v>
      </c>
      <c r="F209" s="2">
        <f>weekly_deaths_location_cause_and_excess_deaths_hospital[[#This Row],[All causes]]-weekly_deaths_location_cause_and_excess_deaths_hospital[[#This Row],[All causes five year average]]</f>
        <v>-68</v>
      </c>
      <c r="G209" s="2">
        <v>126</v>
      </c>
      <c r="H209" s="2">
        <v>139</v>
      </c>
      <c r="I209" s="2">
        <f>weekly_deaths_location_cause_and_excess_deaths_hospital[[#This Row],[Cancer deaths]]-weekly_deaths_location_cause_and_excess_deaths_hospital[[#This Row],[Cancer five year average]]</f>
        <v>-13</v>
      </c>
      <c r="J209" s="2">
        <v>14</v>
      </c>
      <c r="K209" s="2">
        <v>21</v>
      </c>
      <c r="L209" s="2">
        <f>weekly_deaths_location_cause_and_excess_deaths_hospital[[#This Row],[Dementia / Alzhemier''s deaths]]-weekly_deaths_location_cause_and_excess_deaths_hospital[[#This Row],[Dementia / Alzheimer''s five year average]]</f>
        <v>-7</v>
      </c>
      <c r="M209" s="25">
        <v>135</v>
      </c>
      <c r="N209" s="25">
        <v>134</v>
      </c>
      <c r="O209" s="25">
        <f>weekly_deaths_location_cause_and_excess_deaths_hospital[[#This Row],[Circulatory deaths]]-weekly_deaths_location_cause_and_excess_deaths_hospital[[#This Row],[Circulatory five year average]]</f>
        <v>1</v>
      </c>
      <c r="P209" s="25">
        <v>41</v>
      </c>
      <c r="Q209" s="25">
        <v>70</v>
      </c>
      <c r="R209" s="25">
        <f>weekly_deaths_location_cause_and_excess_deaths_hospital[[#This Row],[Respiratory deaths]]-weekly_deaths_location_cause_and_excess_deaths_hospital[[#This Row],[Respiratory five year average]]</f>
        <v>-29</v>
      </c>
      <c r="S209" s="25">
        <v>1</v>
      </c>
      <c r="T209" s="52">
        <v>103</v>
      </c>
      <c r="U209" s="52">
        <v>124</v>
      </c>
      <c r="V209" s="25">
        <f>weekly_deaths_location_cause_and_excess_deaths_hospital[[#This Row],[Other causes]]-weekly_deaths_location_cause_and_excess_deaths_hospital[[#This Row],[Other causes five year average]]</f>
        <v>-21</v>
      </c>
    </row>
    <row r="210" spans="1:22" x14ac:dyDescent="0.35">
      <c r="A210" s="14" t="s">
        <v>85</v>
      </c>
      <c r="B210" s="15">
        <v>33</v>
      </c>
      <c r="C210" s="16">
        <v>44053</v>
      </c>
      <c r="D210" s="57">
        <v>372</v>
      </c>
      <c r="E210" s="2">
        <v>493</v>
      </c>
      <c r="F210" s="2">
        <f>weekly_deaths_location_cause_and_excess_deaths_hospital[[#This Row],[All causes]]-weekly_deaths_location_cause_and_excess_deaths_hospital[[#This Row],[All causes five year average]]</f>
        <v>-121</v>
      </c>
      <c r="G210" s="2">
        <v>112</v>
      </c>
      <c r="H210" s="2">
        <v>146</v>
      </c>
      <c r="I210" s="2">
        <f>weekly_deaths_location_cause_and_excess_deaths_hospital[[#This Row],[Cancer deaths]]-weekly_deaths_location_cause_and_excess_deaths_hospital[[#This Row],[Cancer five year average]]</f>
        <v>-34</v>
      </c>
      <c r="J210" s="2">
        <v>16</v>
      </c>
      <c r="K210" s="2">
        <v>23</v>
      </c>
      <c r="L210" s="2">
        <f>weekly_deaths_location_cause_and_excess_deaths_hospital[[#This Row],[Dementia / Alzhemier''s deaths]]-weekly_deaths_location_cause_and_excess_deaths_hospital[[#This Row],[Dementia / Alzheimer''s five year average]]</f>
        <v>-7</v>
      </c>
      <c r="M210" s="25">
        <v>97</v>
      </c>
      <c r="N210" s="25">
        <v>138</v>
      </c>
      <c r="O210" s="25">
        <f>weekly_deaths_location_cause_and_excess_deaths_hospital[[#This Row],[Circulatory deaths]]-weekly_deaths_location_cause_and_excess_deaths_hospital[[#This Row],[Circulatory five year average]]</f>
        <v>-41</v>
      </c>
      <c r="P210" s="25">
        <v>45</v>
      </c>
      <c r="Q210" s="25">
        <v>64</v>
      </c>
      <c r="R210" s="25">
        <f>weekly_deaths_location_cause_and_excess_deaths_hospital[[#This Row],[Respiratory deaths]]-weekly_deaths_location_cause_and_excess_deaths_hospital[[#This Row],[Respiratory five year average]]</f>
        <v>-19</v>
      </c>
      <c r="S210" s="25">
        <v>0</v>
      </c>
      <c r="T210" s="52">
        <v>102</v>
      </c>
      <c r="U210" s="52">
        <v>122</v>
      </c>
      <c r="V210" s="25">
        <f>weekly_deaths_location_cause_and_excess_deaths_hospital[[#This Row],[Other causes]]-weekly_deaths_location_cause_and_excess_deaths_hospital[[#This Row],[Other causes five year average]]</f>
        <v>-20</v>
      </c>
    </row>
    <row r="211" spans="1:22" x14ac:dyDescent="0.35">
      <c r="A211" s="14" t="s">
        <v>85</v>
      </c>
      <c r="B211" s="15">
        <v>34</v>
      </c>
      <c r="C211" s="16">
        <v>44060</v>
      </c>
      <c r="D211" s="57">
        <v>442</v>
      </c>
      <c r="E211" s="2">
        <v>489</v>
      </c>
      <c r="F211" s="2">
        <f>weekly_deaths_location_cause_and_excess_deaths_hospital[[#This Row],[All causes]]-weekly_deaths_location_cause_and_excess_deaths_hospital[[#This Row],[All causes five year average]]</f>
        <v>-47</v>
      </c>
      <c r="G211" s="2">
        <v>115</v>
      </c>
      <c r="H211" s="2">
        <v>139</v>
      </c>
      <c r="I211" s="2">
        <f>weekly_deaths_location_cause_and_excess_deaths_hospital[[#This Row],[Cancer deaths]]-weekly_deaths_location_cause_and_excess_deaths_hospital[[#This Row],[Cancer five year average]]</f>
        <v>-24</v>
      </c>
      <c r="J211" s="2">
        <v>28</v>
      </c>
      <c r="K211" s="2">
        <v>17</v>
      </c>
      <c r="L211" s="2">
        <f>weekly_deaths_location_cause_and_excess_deaths_hospital[[#This Row],[Dementia / Alzhemier''s deaths]]-weekly_deaths_location_cause_and_excess_deaths_hospital[[#This Row],[Dementia / Alzheimer''s five year average]]</f>
        <v>11</v>
      </c>
      <c r="M211" s="25">
        <v>118</v>
      </c>
      <c r="N211" s="25">
        <v>140</v>
      </c>
      <c r="O211" s="25">
        <f>weekly_deaths_location_cause_and_excess_deaths_hospital[[#This Row],[Circulatory deaths]]-weekly_deaths_location_cause_and_excess_deaths_hospital[[#This Row],[Circulatory five year average]]</f>
        <v>-22</v>
      </c>
      <c r="P211" s="25">
        <v>48</v>
      </c>
      <c r="Q211" s="25">
        <v>60</v>
      </c>
      <c r="R211" s="25">
        <f>weekly_deaths_location_cause_and_excess_deaths_hospital[[#This Row],[Respiratory deaths]]-weekly_deaths_location_cause_and_excess_deaths_hospital[[#This Row],[Respiratory five year average]]</f>
        <v>-12</v>
      </c>
      <c r="S211" s="25">
        <v>1</v>
      </c>
      <c r="T211" s="52">
        <v>132</v>
      </c>
      <c r="U211" s="52">
        <v>132</v>
      </c>
      <c r="V211" s="25">
        <f>weekly_deaths_location_cause_and_excess_deaths_hospital[[#This Row],[Other causes]]-weekly_deaths_location_cause_and_excess_deaths_hospital[[#This Row],[Other causes five year average]]</f>
        <v>0</v>
      </c>
    </row>
    <row r="212" spans="1:22" x14ac:dyDescent="0.35">
      <c r="A212" s="14" t="s">
        <v>85</v>
      </c>
      <c r="B212" s="15">
        <v>35</v>
      </c>
      <c r="C212" s="16">
        <v>44067</v>
      </c>
      <c r="D212" s="57">
        <v>438</v>
      </c>
      <c r="E212" s="2">
        <v>485</v>
      </c>
      <c r="F212" s="2">
        <f>weekly_deaths_location_cause_and_excess_deaths_hospital[[#This Row],[All causes]]-weekly_deaths_location_cause_and_excess_deaths_hospital[[#This Row],[All causes five year average]]</f>
        <v>-47</v>
      </c>
      <c r="G212" s="2">
        <v>136</v>
      </c>
      <c r="H212" s="2">
        <v>143</v>
      </c>
      <c r="I212" s="2">
        <f>weekly_deaths_location_cause_and_excess_deaths_hospital[[#This Row],[Cancer deaths]]-weekly_deaths_location_cause_and_excess_deaths_hospital[[#This Row],[Cancer five year average]]</f>
        <v>-7</v>
      </c>
      <c r="J212" s="2">
        <v>22</v>
      </c>
      <c r="K212" s="2">
        <v>22</v>
      </c>
      <c r="L212" s="2">
        <f>weekly_deaths_location_cause_and_excess_deaths_hospital[[#This Row],[Dementia / Alzhemier''s deaths]]-weekly_deaths_location_cause_and_excess_deaths_hospital[[#This Row],[Dementia / Alzheimer''s five year average]]</f>
        <v>0</v>
      </c>
      <c r="M212" s="25">
        <v>110</v>
      </c>
      <c r="N212" s="25">
        <v>133</v>
      </c>
      <c r="O212" s="25">
        <f>weekly_deaths_location_cause_and_excess_deaths_hospital[[#This Row],[Circulatory deaths]]-weekly_deaths_location_cause_and_excess_deaths_hospital[[#This Row],[Circulatory five year average]]</f>
        <v>-23</v>
      </c>
      <c r="P212" s="25">
        <v>54</v>
      </c>
      <c r="Q212" s="25">
        <v>62</v>
      </c>
      <c r="R212" s="25">
        <f>weekly_deaths_location_cause_and_excess_deaths_hospital[[#This Row],[Respiratory deaths]]-weekly_deaths_location_cause_and_excess_deaths_hospital[[#This Row],[Respiratory five year average]]</f>
        <v>-8</v>
      </c>
      <c r="S212" s="25">
        <v>1</v>
      </c>
      <c r="T212" s="52">
        <v>115</v>
      </c>
      <c r="U212" s="52">
        <v>126</v>
      </c>
      <c r="V212" s="25">
        <f>weekly_deaths_location_cause_and_excess_deaths_hospital[[#This Row],[Other causes]]-weekly_deaths_location_cause_and_excess_deaths_hospital[[#This Row],[Other causes five year average]]</f>
        <v>-11</v>
      </c>
    </row>
    <row r="213" spans="1:22" x14ac:dyDescent="0.35">
      <c r="A213" s="14" t="s">
        <v>85</v>
      </c>
      <c r="B213" s="15">
        <v>36</v>
      </c>
      <c r="C213" s="16">
        <v>44074</v>
      </c>
      <c r="D213" s="57">
        <v>457</v>
      </c>
      <c r="E213" s="2">
        <v>479</v>
      </c>
      <c r="F213" s="2">
        <f>weekly_deaths_location_cause_and_excess_deaths_hospital[[#This Row],[All causes]]-weekly_deaths_location_cause_and_excess_deaths_hospital[[#This Row],[All causes five year average]]</f>
        <v>-22</v>
      </c>
      <c r="G213" s="2">
        <v>139</v>
      </c>
      <c r="H213" s="2">
        <v>150</v>
      </c>
      <c r="I213" s="2">
        <f>weekly_deaths_location_cause_and_excess_deaths_hospital[[#This Row],[Cancer deaths]]-weekly_deaths_location_cause_and_excess_deaths_hospital[[#This Row],[Cancer five year average]]</f>
        <v>-11</v>
      </c>
      <c r="J213" s="2">
        <v>12</v>
      </c>
      <c r="K213" s="2">
        <v>24</v>
      </c>
      <c r="L213" s="2">
        <f>weekly_deaths_location_cause_and_excess_deaths_hospital[[#This Row],[Dementia / Alzhemier''s deaths]]-weekly_deaths_location_cause_and_excess_deaths_hospital[[#This Row],[Dementia / Alzheimer''s five year average]]</f>
        <v>-12</v>
      </c>
      <c r="M213" s="25">
        <v>114</v>
      </c>
      <c r="N213" s="25">
        <v>121</v>
      </c>
      <c r="O213" s="25">
        <f>weekly_deaths_location_cause_and_excess_deaths_hospital[[#This Row],[Circulatory deaths]]-weekly_deaths_location_cause_and_excess_deaths_hospital[[#This Row],[Circulatory five year average]]</f>
        <v>-7</v>
      </c>
      <c r="P213" s="25">
        <v>49</v>
      </c>
      <c r="Q213" s="25">
        <v>58</v>
      </c>
      <c r="R213" s="25">
        <f>weekly_deaths_location_cause_and_excess_deaths_hospital[[#This Row],[Respiratory deaths]]-weekly_deaths_location_cause_and_excess_deaths_hospital[[#This Row],[Respiratory five year average]]</f>
        <v>-9</v>
      </c>
      <c r="S213" s="25">
        <v>2</v>
      </c>
      <c r="T213" s="52">
        <v>141</v>
      </c>
      <c r="U213" s="52">
        <v>125</v>
      </c>
      <c r="V213" s="25">
        <f>weekly_deaths_location_cause_and_excess_deaths_hospital[[#This Row],[Other causes]]-weekly_deaths_location_cause_and_excess_deaths_hospital[[#This Row],[Other causes five year average]]</f>
        <v>16</v>
      </c>
    </row>
    <row r="214" spans="1:22" x14ac:dyDescent="0.35">
      <c r="A214" s="14" t="s">
        <v>85</v>
      </c>
      <c r="B214" s="15">
        <v>37</v>
      </c>
      <c r="C214" s="16">
        <v>44081</v>
      </c>
      <c r="D214" s="57">
        <v>491</v>
      </c>
      <c r="E214" s="2">
        <v>491</v>
      </c>
      <c r="F214" s="2">
        <f>weekly_deaths_location_cause_and_excess_deaths_hospital[[#This Row],[All causes]]-weekly_deaths_location_cause_and_excess_deaths_hospital[[#This Row],[All causes five year average]]</f>
        <v>0</v>
      </c>
      <c r="G214" s="2">
        <v>113</v>
      </c>
      <c r="H214" s="2">
        <v>154</v>
      </c>
      <c r="I214" s="2">
        <f>weekly_deaths_location_cause_and_excess_deaths_hospital[[#This Row],[Cancer deaths]]-weekly_deaths_location_cause_and_excess_deaths_hospital[[#This Row],[Cancer five year average]]</f>
        <v>-41</v>
      </c>
      <c r="J214" s="2">
        <v>16</v>
      </c>
      <c r="K214" s="2">
        <v>21</v>
      </c>
      <c r="L214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214" s="25">
        <v>153</v>
      </c>
      <c r="N214" s="25">
        <v>124</v>
      </c>
      <c r="O214" s="25">
        <f>weekly_deaths_location_cause_and_excess_deaths_hospital[[#This Row],[Circulatory deaths]]-weekly_deaths_location_cause_and_excess_deaths_hospital[[#This Row],[Circulatory five year average]]</f>
        <v>29</v>
      </c>
      <c r="P214" s="25">
        <v>55</v>
      </c>
      <c r="Q214" s="25">
        <v>60</v>
      </c>
      <c r="R214" s="25">
        <f>weekly_deaths_location_cause_and_excess_deaths_hospital[[#This Row],[Respiratory deaths]]-weekly_deaths_location_cause_and_excess_deaths_hospital[[#This Row],[Respiratory five year average]]</f>
        <v>-5</v>
      </c>
      <c r="S214" s="25">
        <v>2</v>
      </c>
      <c r="T214" s="52">
        <v>152</v>
      </c>
      <c r="U214" s="52">
        <v>131</v>
      </c>
      <c r="V214" s="25">
        <f>weekly_deaths_location_cause_and_excess_deaths_hospital[[#This Row],[Other causes]]-weekly_deaths_location_cause_and_excess_deaths_hospital[[#This Row],[Other causes five year average]]</f>
        <v>21</v>
      </c>
    </row>
    <row r="215" spans="1:22" x14ac:dyDescent="0.35">
      <c r="A215" s="14" t="s">
        <v>85</v>
      </c>
      <c r="B215" s="15">
        <v>38</v>
      </c>
      <c r="C215" s="16">
        <v>44088</v>
      </c>
      <c r="D215" s="57">
        <v>397</v>
      </c>
      <c r="E215" s="2">
        <v>494</v>
      </c>
      <c r="F215" s="2">
        <f>weekly_deaths_location_cause_and_excess_deaths_hospital[[#This Row],[All causes]]-weekly_deaths_location_cause_and_excess_deaths_hospital[[#This Row],[All causes five year average]]</f>
        <v>-97</v>
      </c>
      <c r="G215" s="2">
        <v>96</v>
      </c>
      <c r="H215" s="2">
        <v>145</v>
      </c>
      <c r="I215" s="2">
        <f>weekly_deaths_location_cause_and_excess_deaths_hospital[[#This Row],[Cancer deaths]]-weekly_deaths_location_cause_and_excess_deaths_hospital[[#This Row],[Cancer five year average]]</f>
        <v>-49</v>
      </c>
      <c r="J215" s="2">
        <v>16</v>
      </c>
      <c r="K215" s="2">
        <v>25</v>
      </c>
      <c r="L215" s="2">
        <f>weekly_deaths_location_cause_and_excess_deaths_hospital[[#This Row],[Dementia / Alzhemier''s deaths]]-weekly_deaths_location_cause_and_excess_deaths_hospital[[#This Row],[Dementia / Alzheimer''s five year average]]</f>
        <v>-9</v>
      </c>
      <c r="M215" s="25">
        <v>114</v>
      </c>
      <c r="N215" s="25">
        <v>139</v>
      </c>
      <c r="O215" s="25">
        <f>weekly_deaths_location_cause_and_excess_deaths_hospital[[#This Row],[Circulatory deaths]]-weekly_deaths_location_cause_and_excess_deaths_hospital[[#This Row],[Circulatory five year average]]</f>
        <v>-25</v>
      </c>
      <c r="P215" s="25">
        <v>48</v>
      </c>
      <c r="Q215" s="25">
        <v>65</v>
      </c>
      <c r="R215" s="25">
        <f>weekly_deaths_location_cause_and_excess_deaths_hospital[[#This Row],[Respiratory deaths]]-weekly_deaths_location_cause_and_excess_deaths_hospital[[#This Row],[Respiratory five year average]]</f>
        <v>-17</v>
      </c>
      <c r="S215" s="25">
        <v>5</v>
      </c>
      <c r="T215" s="52">
        <v>118</v>
      </c>
      <c r="U215" s="52">
        <v>120</v>
      </c>
      <c r="V215" s="25">
        <f>weekly_deaths_location_cause_and_excess_deaths_hospital[[#This Row],[Other causes]]-weekly_deaths_location_cause_and_excess_deaths_hospital[[#This Row],[Other causes five year average]]</f>
        <v>-2</v>
      </c>
    </row>
    <row r="216" spans="1:22" x14ac:dyDescent="0.35">
      <c r="A216" s="14" t="s">
        <v>85</v>
      </c>
      <c r="B216" s="15">
        <v>39</v>
      </c>
      <c r="C216" s="16">
        <v>44095</v>
      </c>
      <c r="D216" s="57">
        <v>419</v>
      </c>
      <c r="E216" s="2">
        <v>513</v>
      </c>
      <c r="F216" s="2">
        <f>weekly_deaths_location_cause_and_excess_deaths_hospital[[#This Row],[All causes]]-weekly_deaths_location_cause_and_excess_deaths_hospital[[#This Row],[All causes five year average]]</f>
        <v>-94</v>
      </c>
      <c r="G216" s="2">
        <v>99</v>
      </c>
      <c r="H216" s="2">
        <v>141</v>
      </c>
      <c r="I216" s="2">
        <f>weekly_deaths_location_cause_and_excess_deaths_hospital[[#This Row],[Cancer deaths]]-weekly_deaths_location_cause_and_excess_deaths_hospital[[#This Row],[Cancer five year average]]</f>
        <v>-42</v>
      </c>
      <c r="J216" s="2">
        <v>18</v>
      </c>
      <c r="K216" s="2">
        <v>23</v>
      </c>
      <c r="L216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216" s="25">
        <v>122</v>
      </c>
      <c r="N216" s="25">
        <v>141</v>
      </c>
      <c r="O216" s="25">
        <f>weekly_deaths_location_cause_and_excess_deaths_hospital[[#This Row],[Circulatory deaths]]-weekly_deaths_location_cause_and_excess_deaths_hospital[[#This Row],[Circulatory five year average]]</f>
        <v>-19</v>
      </c>
      <c r="P216" s="25">
        <v>43</v>
      </c>
      <c r="Q216" s="25">
        <v>70</v>
      </c>
      <c r="R216" s="25">
        <f>weekly_deaths_location_cause_and_excess_deaths_hospital[[#This Row],[Respiratory deaths]]-weekly_deaths_location_cause_and_excess_deaths_hospital[[#This Row],[Respiratory five year average]]</f>
        <v>-27</v>
      </c>
      <c r="S216" s="25">
        <v>4</v>
      </c>
      <c r="T216" s="52">
        <v>133</v>
      </c>
      <c r="U216" s="52">
        <v>138</v>
      </c>
      <c r="V216" s="25">
        <f>weekly_deaths_location_cause_and_excess_deaths_hospital[[#This Row],[Other causes]]-weekly_deaths_location_cause_and_excess_deaths_hospital[[#This Row],[Other causes five year average]]</f>
        <v>-5</v>
      </c>
    </row>
    <row r="217" spans="1:22" x14ac:dyDescent="0.35">
      <c r="A217" s="14" t="s">
        <v>85</v>
      </c>
      <c r="B217" s="15">
        <v>40</v>
      </c>
      <c r="C217" s="16">
        <v>44102</v>
      </c>
      <c r="D217" s="57">
        <v>521</v>
      </c>
      <c r="E217" s="2">
        <v>516</v>
      </c>
      <c r="F217" s="2">
        <f>weekly_deaths_location_cause_and_excess_deaths_hospital[[#This Row],[All causes]]-weekly_deaths_location_cause_and_excess_deaths_hospital[[#This Row],[All causes five year average]]</f>
        <v>5</v>
      </c>
      <c r="G217" s="2">
        <v>146</v>
      </c>
      <c r="H217" s="2">
        <v>153</v>
      </c>
      <c r="I217" s="2">
        <f>weekly_deaths_location_cause_and_excess_deaths_hospital[[#This Row],[Cancer deaths]]-weekly_deaths_location_cause_and_excess_deaths_hospital[[#This Row],[Cancer five year average]]</f>
        <v>-7</v>
      </c>
      <c r="J217" s="2">
        <v>25</v>
      </c>
      <c r="K217" s="2">
        <v>22</v>
      </c>
      <c r="L217" s="2">
        <f>weekly_deaths_location_cause_and_excess_deaths_hospital[[#This Row],[Dementia / Alzhemier''s deaths]]-weekly_deaths_location_cause_and_excess_deaths_hospital[[#This Row],[Dementia / Alzheimer''s five year average]]</f>
        <v>3</v>
      </c>
      <c r="M217" s="25">
        <v>140</v>
      </c>
      <c r="N217" s="25">
        <v>135</v>
      </c>
      <c r="O217" s="25">
        <f>weekly_deaths_location_cause_and_excess_deaths_hospital[[#This Row],[Circulatory deaths]]-weekly_deaths_location_cause_and_excess_deaths_hospital[[#This Row],[Circulatory five year average]]</f>
        <v>5</v>
      </c>
      <c r="P217" s="25">
        <v>56</v>
      </c>
      <c r="Q217" s="25">
        <v>74</v>
      </c>
      <c r="R217" s="25">
        <f>weekly_deaths_location_cause_and_excess_deaths_hospital[[#This Row],[Respiratory deaths]]-weekly_deaths_location_cause_and_excess_deaths_hospital[[#This Row],[Respiratory five year average]]</f>
        <v>-18</v>
      </c>
      <c r="S217" s="25">
        <v>12</v>
      </c>
      <c r="T217" s="52">
        <v>142</v>
      </c>
      <c r="U217" s="52">
        <v>132</v>
      </c>
      <c r="V217" s="25">
        <f>weekly_deaths_location_cause_and_excess_deaths_hospital[[#This Row],[Other causes]]-weekly_deaths_location_cause_and_excess_deaths_hospital[[#This Row],[Other causes five year average]]</f>
        <v>10</v>
      </c>
    </row>
    <row r="218" spans="1:22" x14ac:dyDescent="0.35">
      <c r="A218" s="14" t="s">
        <v>85</v>
      </c>
      <c r="B218" s="15">
        <v>41</v>
      </c>
      <c r="C218" s="16">
        <v>44109</v>
      </c>
      <c r="D218" s="57">
        <v>472</v>
      </c>
      <c r="E218" s="2">
        <v>555</v>
      </c>
      <c r="F218" s="2">
        <f>weekly_deaths_location_cause_and_excess_deaths_hospital[[#This Row],[All causes]]-weekly_deaths_location_cause_and_excess_deaths_hospital[[#This Row],[All causes five year average]]</f>
        <v>-83</v>
      </c>
      <c r="G218" s="2">
        <v>117</v>
      </c>
      <c r="H218" s="2">
        <v>163</v>
      </c>
      <c r="I218" s="2">
        <f>weekly_deaths_location_cause_and_excess_deaths_hospital[[#This Row],[Cancer deaths]]-weekly_deaths_location_cause_and_excess_deaths_hospital[[#This Row],[Cancer five year average]]</f>
        <v>-46</v>
      </c>
      <c r="J218" s="2">
        <v>26</v>
      </c>
      <c r="K218" s="2">
        <v>25</v>
      </c>
      <c r="L218" s="2">
        <f>weekly_deaths_location_cause_and_excess_deaths_hospital[[#This Row],[Dementia / Alzhemier''s deaths]]-weekly_deaths_location_cause_and_excess_deaths_hospital[[#This Row],[Dementia / Alzheimer''s five year average]]</f>
        <v>1</v>
      </c>
      <c r="M218" s="25">
        <v>127</v>
      </c>
      <c r="N218" s="25">
        <v>147</v>
      </c>
      <c r="O218" s="25">
        <f>weekly_deaths_location_cause_and_excess_deaths_hospital[[#This Row],[Circulatory deaths]]-weekly_deaths_location_cause_and_excess_deaths_hospital[[#This Row],[Circulatory five year average]]</f>
        <v>-20</v>
      </c>
      <c r="P218" s="25">
        <v>55</v>
      </c>
      <c r="Q218" s="25">
        <v>78</v>
      </c>
      <c r="R218" s="25">
        <f>weekly_deaths_location_cause_and_excess_deaths_hospital[[#This Row],[Respiratory deaths]]-weekly_deaths_location_cause_and_excess_deaths_hospital[[#This Row],[Respiratory five year average]]</f>
        <v>-23</v>
      </c>
      <c r="S218" s="25">
        <v>17</v>
      </c>
      <c r="T218" s="52">
        <v>130</v>
      </c>
      <c r="U218" s="52">
        <v>143</v>
      </c>
      <c r="V218" s="25">
        <f>weekly_deaths_location_cause_and_excess_deaths_hospital[[#This Row],[Other causes]]-weekly_deaths_location_cause_and_excess_deaths_hospital[[#This Row],[Other causes five year average]]</f>
        <v>-13</v>
      </c>
    </row>
    <row r="219" spans="1:22" x14ac:dyDescent="0.35">
      <c r="A219" s="14" t="s">
        <v>85</v>
      </c>
      <c r="B219" s="15">
        <v>42</v>
      </c>
      <c r="C219" s="16">
        <v>44116</v>
      </c>
      <c r="D219" s="57">
        <v>534</v>
      </c>
      <c r="E219" s="2">
        <v>517</v>
      </c>
      <c r="F219" s="2">
        <f>weekly_deaths_location_cause_and_excess_deaths_hospital[[#This Row],[All causes]]-weekly_deaths_location_cause_and_excess_deaths_hospital[[#This Row],[All causes five year average]]</f>
        <v>17</v>
      </c>
      <c r="G219" s="2">
        <v>110</v>
      </c>
      <c r="H219" s="2">
        <v>147</v>
      </c>
      <c r="I219" s="2">
        <f>weekly_deaths_location_cause_and_excess_deaths_hospital[[#This Row],[Cancer deaths]]-weekly_deaths_location_cause_and_excess_deaths_hospital[[#This Row],[Cancer five year average]]</f>
        <v>-37</v>
      </c>
      <c r="J219" s="2">
        <v>24</v>
      </c>
      <c r="K219" s="2">
        <v>21</v>
      </c>
      <c r="L219" s="2">
        <f>weekly_deaths_location_cause_and_excess_deaths_hospital[[#This Row],[Dementia / Alzhemier''s deaths]]-weekly_deaths_location_cause_and_excess_deaths_hospital[[#This Row],[Dementia / Alzheimer''s five year average]]</f>
        <v>3</v>
      </c>
      <c r="M219" s="25">
        <v>140</v>
      </c>
      <c r="N219" s="25">
        <v>141</v>
      </c>
      <c r="O219" s="25">
        <f>weekly_deaths_location_cause_and_excess_deaths_hospital[[#This Row],[Circulatory deaths]]-weekly_deaths_location_cause_and_excess_deaths_hospital[[#This Row],[Circulatory five year average]]</f>
        <v>-1</v>
      </c>
      <c r="P219" s="25">
        <v>62</v>
      </c>
      <c r="Q219" s="25">
        <v>77</v>
      </c>
      <c r="R219" s="25">
        <f>weekly_deaths_location_cause_and_excess_deaths_hospital[[#This Row],[Respiratory deaths]]-weekly_deaths_location_cause_and_excess_deaths_hospital[[#This Row],[Respiratory five year average]]</f>
        <v>-15</v>
      </c>
      <c r="S219" s="25">
        <v>51</v>
      </c>
      <c r="T219" s="52">
        <v>147</v>
      </c>
      <c r="U219" s="52">
        <v>131</v>
      </c>
      <c r="V219" s="25">
        <f>weekly_deaths_location_cause_and_excess_deaths_hospital[[#This Row],[Other causes]]-weekly_deaths_location_cause_and_excess_deaths_hospital[[#This Row],[Other causes five year average]]</f>
        <v>16</v>
      </c>
    </row>
    <row r="220" spans="1:22" x14ac:dyDescent="0.35">
      <c r="A220" s="14" t="s">
        <v>85</v>
      </c>
      <c r="B220" s="15">
        <v>43</v>
      </c>
      <c r="C220" s="16">
        <v>44123</v>
      </c>
      <c r="D220" s="57">
        <v>544</v>
      </c>
      <c r="E220" s="2">
        <v>522</v>
      </c>
      <c r="F220" s="2">
        <f>weekly_deaths_location_cause_and_excess_deaths_hospital[[#This Row],[All causes]]-weekly_deaths_location_cause_and_excess_deaths_hospital[[#This Row],[All causes five year average]]</f>
        <v>22</v>
      </c>
      <c r="G220" s="2">
        <v>132</v>
      </c>
      <c r="H220" s="2">
        <v>148</v>
      </c>
      <c r="I220" s="2">
        <f>weekly_deaths_location_cause_and_excess_deaths_hospital[[#This Row],[Cancer deaths]]-weekly_deaths_location_cause_and_excess_deaths_hospital[[#This Row],[Cancer five year average]]</f>
        <v>-16</v>
      </c>
      <c r="J220" s="2">
        <v>28</v>
      </c>
      <c r="K220" s="2">
        <v>25</v>
      </c>
      <c r="L220" s="2">
        <f>weekly_deaths_location_cause_and_excess_deaths_hospital[[#This Row],[Dementia / Alzhemier''s deaths]]-weekly_deaths_location_cause_and_excess_deaths_hospital[[#This Row],[Dementia / Alzheimer''s five year average]]</f>
        <v>3</v>
      </c>
      <c r="M220" s="25">
        <v>127</v>
      </c>
      <c r="N220" s="25">
        <v>136</v>
      </c>
      <c r="O220" s="25">
        <f>weekly_deaths_location_cause_and_excess_deaths_hospital[[#This Row],[Circulatory deaths]]-weekly_deaths_location_cause_and_excess_deaths_hospital[[#This Row],[Circulatory five year average]]</f>
        <v>-9</v>
      </c>
      <c r="P220" s="25">
        <v>42</v>
      </c>
      <c r="Q220" s="25">
        <v>75</v>
      </c>
      <c r="R220" s="25">
        <f>weekly_deaths_location_cause_and_excess_deaths_hospital[[#This Row],[Respiratory deaths]]-weekly_deaths_location_cause_and_excess_deaths_hospital[[#This Row],[Respiratory five year average]]</f>
        <v>-33</v>
      </c>
      <c r="S220" s="25">
        <v>72</v>
      </c>
      <c r="T220" s="52">
        <v>143</v>
      </c>
      <c r="U220" s="52">
        <v>138</v>
      </c>
      <c r="V220" s="25">
        <f>weekly_deaths_location_cause_and_excess_deaths_hospital[[#This Row],[Other causes]]-weekly_deaths_location_cause_and_excess_deaths_hospital[[#This Row],[Other causes five year average]]</f>
        <v>5</v>
      </c>
    </row>
    <row r="221" spans="1:22" x14ac:dyDescent="0.35">
      <c r="A221" s="14" t="s">
        <v>85</v>
      </c>
      <c r="B221" s="15">
        <v>44</v>
      </c>
      <c r="C221" s="16">
        <v>44130</v>
      </c>
      <c r="D221" s="57">
        <v>598</v>
      </c>
      <c r="E221" s="2">
        <v>535</v>
      </c>
      <c r="F221" s="2">
        <f>weekly_deaths_location_cause_and_excess_deaths_hospital[[#This Row],[All causes]]-weekly_deaths_location_cause_and_excess_deaths_hospital[[#This Row],[All causes five year average]]</f>
        <v>63</v>
      </c>
      <c r="G221" s="2">
        <v>132</v>
      </c>
      <c r="H221" s="2">
        <v>152</v>
      </c>
      <c r="I221" s="2">
        <f>weekly_deaths_location_cause_and_excess_deaths_hospital[[#This Row],[Cancer deaths]]-weekly_deaths_location_cause_and_excess_deaths_hospital[[#This Row],[Cancer five year average]]</f>
        <v>-20</v>
      </c>
      <c r="J221" s="2">
        <v>22</v>
      </c>
      <c r="K221" s="2">
        <v>24</v>
      </c>
      <c r="L221" s="2">
        <f>weekly_deaths_location_cause_and_excess_deaths_hospital[[#This Row],[Dementia / Alzhemier''s deaths]]-weekly_deaths_location_cause_and_excess_deaths_hospital[[#This Row],[Dementia / Alzheimer''s five year average]]</f>
        <v>-2</v>
      </c>
      <c r="M221" s="25">
        <v>146</v>
      </c>
      <c r="N221" s="25">
        <v>148</v>
      </c>
      <c r="O221" s="25">
        <f>weekly_deaths_location_cause_and_excess_deaths_hospital[[#This Row],[Circulatory deaths]]-weekly_deaths_location_cause_and_excess_deaths_hospital[[#This Row],[Circulatory five year average]]</f>
        <v>-2</v>
      </c>
      <c r="P221" s="25">
        <v>57</v>
      </c>
      <c r="Q221" s="25">
        <v>72</v>
      </c>
      <c r="R221" s="25">
        <f>weekly_deaths_location_cause_and_excess_deaths_hospital[[#This Row],[Respiratory deaths]]-weekly_deaths_location_cause_and_excess_deaths_hospital[[#This Row],[Respiratory five year average]]</f>
        <v>-15</v>
      </c>
      <c r="S221" s="25">
        <v>118</v>
      </c>
      <c r="T221" s="52">
        <v>123</v>
      </c>
      <c r="U221" s="52">
        <v>139</v>
      </c>
      <c r="V221" s="25">
        <f>weekly_deaths_location_cause_and_excess_deaths_hospital[[#This Row],[Other causes]]-weekly_deaths_location_cause_and_excess_deaths_hospital[[#This Row],[Other causes five year average]]</f>
        <v>-16</v>
      </c>
    </row>
    <row r="222" spans="1:22" x14ac:dyDescent="0.35">
      <c r="A222" s="14" t="s">
        <v>85</v>
      </c>
      <c r="B222" s="15">
        <v>45</v>
      </c>
      <c r="C222" s="16">
        <v>44137</v>
      </c>
      <c r="D222" s="57">
        <v>565</v>
      </c>
      <c r="E222" s="2">
        <v>541</v>
      </c>
      <c r="F222" s="2">
        <f>weekly_deaths_location_cause_and_excess_deaths_hospital[[#This Row],[All causes]]-weekly_deaths_location_cause_and_excess_deaths_hospital[[#This Row],[All causes five year average]]</f>
        <v>24</v>
      </c>
      <c r="G222" s="2">
        <v>112</v>
      </c>
      <c r="H222" s="2">
        <v>149</v>
      </c>
      <c r="I222" s="2">
        <f>weekly_deaths_location_cause_and_excess_deaths_hospital[[#This Row],[Cancer deaths]]-weekly_deaths_location_cause_and_excess_deaths_hospital[[#This Row],[Cancer five year average]]</f>
        <v>-37</v>
      </c>
      <c r="J222" s="2">
        <v>23</v>
      </c>
      <c r="K222" s="2">
        <v>26</v>
      </c>
      <c r="L222" s="2">
        <f>weekly_deaths_location_cause_and_excess_deaths_hospital[[#This Row],[Dementia / Alzhemier''s deaths]]-weekly_deaths_location_cause_and_excess_deaths_hospital[[#This Row],[Dementia / Alzheimer''s five year average]]</f>
        <v>-3</v>
      </c>
      <c r="M222" s="25">
        <v>128</v>
      </c>
      <c r="N222" s="25">
        <v>156</v>
      </c>
      <c r="O222" s="25">
        <f>weekly_deaths_location_cause_and_excess_deaths_hospital[[#This Row],[Circulatory deaths]]-weekly_deaths_location_cause_and_excess_deaths_hospital[[#This Row],[Circulatory five year average]]</f>
        <v>-28</v>
      </c>
      <c r="P222" s="25">
        <v>44</v>
      </c>
      <c r="Q222" s="25">
        <v>73</v>
      </c>
      <c r="R222" s="25">
        <f>weekly_deaths_location_cause_and_excess_deaths_hospital[[#This Row],[Respiratory deaths]]-weekly_deaths_location_cause_and_excess_deaths_hospital[[#This Row],[Respiratory five year average]]</f>
        <v>-29</v>
      </c>
      <c r="S222" s="25">
        <v>126</v>
      </c>
      <c r="T222" s="52">
        <v>132</v>
      </c>
      <c r="U222" s="52">
        <v>137</v>
      </c>
      <c r="V222" s="25">
        <f>weekly_deaths_location_cause_and_excess_deaths_hospital[[#This Row],[Other causes]]-weekly_deaths_location_cause_and_excess_deaths_hospital[[#This Row],[Other causes five year average]]</f>
        <v>-5</v>
      </c>
    </row>
    <row r="223" spans="1:22" x14ac:dyDescent="0.35">
      <c r="A223" s="14" t="s">
        <v>85</v>
      </c>
      <c r="B223" s="15">
        <v>46</v>
      </c>
      <c r="C223" s="16">
        <v>44144</v>
      </c>
      <c r="D223" s="57">
        <v>643</v>
      </c>
      <c r="E223" s="2">
        <v>563</v>
      </c>
      <c r="F223" s="2">
        <f>weekly_deaths_location_cause_and_excess_deaths_hospital[[#This Row],[All causes]]-weekly_deaths_location_cause_and_excess_deaths_hospital[[#This Row],[All causes five year average]]</f>
        <v>80</v>
      </c>
      <c r="G223" s="2">
        <v>114</v>
      </c>
      <c r="H223" s="2">
        <v>160</v>
      </c>
      <c r="I223" s="2">
        <f>weekly_deaths_location_cause_and_excess_deaths_hospital[[#This Row],[Cancer deaths]]-weekly_deaths_location_cause_and_excess_deaths_hospital[[#This Row],[Cancer five year average]]</f>
        <v>-46</v>
      </c>
      <c r="J223" s="2">
        <v>24</v>
      </c>
      <c r="K223" s="2">
        <v>29</v>
      </c>
      <c r="L223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223" s="25">
        <v>131</v>
      </c>
      <c r="N223" s="25">
        <v>142</v>
      </c>
      <c r="O223" s="25">
        <f>weekly_deaths_location_cause_and_excess_deaths_hospital[[#This Row],[Circulatory deaths]]-weekly_deaths_location_cause_and_excess_deaths_hospital[[#This Row],[Circulatory five year average]]</f>
        <v>-11</v>
      </c>
      <c r="P223" s="25">
        <v>49</v>
      </c>
      <c r="Q223" s="25">
        <v>81</v>
      </c>
      <c r="R223" s="25">
        <f>weekly_deaths_location_cause_and_excess_deaths_hospital[[#This Row],[Respiratory deaths]]-weekly_deaths_location_cause_and_excess_deaths_hospital[[#This Row],[Respiratory five year average]]</f>
        <v>-32</v>
      </c>
      <c r="S223" s="25">
        <v>173</v>
      </c>
      <c r="T223" s="52">
        <v>152</v>
      </c>
      <c r="U223" s="52">
        <v>152</v>
      </c>
      <c r="V223" s="25">
        <f>weekly_deaths_location_cause_and_excess_deaths_hospital[[#This Row],[Other causes]]-weekly_deaths_location_cause_and_excess_deaths_hospital[[#This Row],[Other causes five year average]]</f>
        <v>0</v>
      </c>
    </row>
    <row r="224" spans="1:22" x14ac:dyDescent="0.35">
      <c r="A224" s="14" t="s">
        <v>85</v>
      </c>
      <c r="B224" s="15">
        <v>47</v>
      </c>
      <c r="C224" s="16">
        <v>44151</v>
      </c>
      <c r="D224" s="57">
        <v>612</v>
      </c>
      <c r="E224" s="2">
        <v>546</v>
      </c>
      <c r="F224" s="2">
        <f>weekly_deaths_location_cause_and_excess_deaths_hospital[[#This Row],[All causes]]-weekly_deaths_location_cause_and_excess_deaths_hospital[[#This Row],[All causes five year average]]</f>
        <v>66</v>
      </c>
      <c r="G224" s="2">
        <v>112</v>
      </c>
      <c r="H224" s="2">
        <v>140</v>
      </c>
      <c r="I224" s="2">
        <f>weekly_deaths_location_cause_and_excess_deaths_hospital[[#This Row],[Cancer deaths]]-weekly_deaths_location_cause_and_excess_deaths_hospital[[#This Row],[Cancer five year average]]</f>
        <v>-28</v>
      </c>
      <c r="J224" s="2">
        <v>17</v>
      </c>
      <c r="K224" s="2">
        <v>29</v>
      </c>
      <c r="L224" s="2">
        <f>weekly_deaths_location_cause_and_excess_deaths_hospital[[#This Row],[Dementia / Alzhemier''s deaths]]-weekly_deaths_location_cause_and_excess_deaths_hospital[[#This Row],[Dementia / Alzheimer''s five year average]]</f>
        <v>-12</v>
      </c>
      <c r="M224" s="25">
        <v>130</v>
      </c>
      <c r="N224" s="25">
        <v>152</v>
      </c>
      <c r="O224" s="25">
        <f>weekly_deaths_location_cause_and_excess_deaths_hospital[[#This Row],[Circulatory deaths]]-weekly_deaths_location_cause_and_excess_deaths_hospital[[#This Row],[Circulatory five year average]]</f>
        <v>-22</v>
      </c>
      <c r="P224" s="25">
        <v>54</v>
      </c>
      <c r="Q224" s="25">
        <v>82</v>
      </c>
      <c r="R224" s="25">
        <f>weekly_deaths_location_cause_and_excess_deaths_hospital[[#This Row],[Respiratory deaths]]-weekly_deaths_location_cause_and_excess_deaths_hospital[[#This Row],[Respiratory five year average]]</f>
        <v>-28</v>
      </c>
      <c r="S224" s="25">
        <v>139</v>
      </c>
      <c r="T224" s="52">
        <v>160</v>
      </c>
      <c r="U224" s="52">
        <v>143</v>
      </c>
      <c r="V224" s="25">
        <f>weekly_deaths_location_cause_and_excess_deaths_hospital[[#This Row],[Other causes]]-weekly_deaths_location_cause_and_excess_deaths_hospital[[#This Row],[Other causes five year average]]</f>
        <v>17</v>
      </c>
    </row>
    <row r="225" spans="1:23" x14ac:dyDescent="0.35">
      <c r="A225" s="14" t="s">
        <v>85</v>
      </c>
      <c r="B225" s="15">
        <v>48</v>
      </c>
      <c r="C225" s="16">
        <v>44158</v>
      </c>
      <c r="D225" s="57">
        <v>606</v>
      </c>
      <c r="E225" s="2">
        <v>548</v>
      </c>
      <c r="F225" s="2">
        <f>weekly_deaths_location_cause_and_excess_deaths_hospital[[#This Row],[All causes]]-weekly_deaths_location_cause_and_excess_deaths_hospital[[#This Row],[All causes five year average]]</f>
        <v>58</v>
      </c>
      <c r="G225" s="2">
        <v>136</v>
      </c>
      <c r="H225" s="2">
        <v>146</v>
      </c>
      <c r="I225" s="2">
        <f>weekly_deaths_location_cause_and_excess_deaths_hospital[[#This Row],[Cancer deaths]]-weekly_deaths_location_cause_and_excess_deaths_hospital[[#This Row],[Cancer five year average]]</f>
        <v>-10</v>
      </c>
      <c r="J225" s="2">
        <v>16</v>
      </c>
      <c r="K225" s="2">
        <v>27</v>
      </c>
      <c r="L225" s="2">
        <f>weekly_deaths_location_cause_and_excess_deaths_hospital[[#This Row],[Dementia / Alzhemier''s deaths]]-weekly_deaths_location_cause_and_excess_deaths_hospital[[#This Row],[Dementia / Alzheimer''s five year average]]</f>
        <v>-11</v>
      </c>
      <c r="M225" s="25">
        <v>124</v>
      </c>
      <c r="N225" s="25">
        <v>152</v>
      </c>
      <c r="O225" s="25">
        <f>weekly_deaths_location_cause_and_excess_deaths_hospital[[#This Row],[Circulatory deaths]]-weekly_deaths_location_cause_and_excess_deaths_hospital[[#This Row],[Circulatory five year average]]</f>
        <v>-28</v>
      </c>
      <c r="P225" s="25">
        <v>61</v>
      </c>
      <c r="Q225" s="25">
        <v>85</v>
      </c>
      <c r="R225" s="25">
        <f>weekly_deaths_location_cause_and_excess_deaths_hospital[[#This Row],[Respiratory deaths]]-weekly_deaths_location_cause_and_excess_deaths_hospital[[#This Row],[Respiratory five year average]]</f>
        <v>-24</v>
      </c>
      <c r="S225" s="25">
        <v>135</v>
      </c>
      <c r="T225" s="52">
        <v>134</v>
      </c>
      <c r="U225" s="52">
        <v>138</v>
      </c>
      <c r="V225" s="25">
        <f>weekly_deaths_location_cause_and_excess_deaths_hospital[[#This Row],[Other causes]]-weekly_deaths_location_cause_and_excess_deaths_hospital[[#This Row],[Other causes five year average]]</f>
        <v>-4</v>
      </c>
    </row>
    <row r="226" spans="1:23" x14ac:dyDescent="0.35">
      <c r="A226" s="14" t="s">
        <v>85</v>
      </c>
      <c r="B226" s="15">
        <v>49</v>
      </c>
      <c r="C226" s="16">
        <v>44165</v>
      </c>
      <c r="D226" s="57">
        <v>580</v>
      </c>
      <c r="E226" s="2">
        <v>558</v>
      </c>
      <c r="F226" s="2">
        <f>weekly_deaths_location_cause_and_excess_deaths_hospital[[#This Row],[All causes]]-weekly_deaths_location_cause_and_excess_deaths_hospital[[#This Row],[All causes five year average]]</f>
        <v>22</v>
      </c>
      <c r="G226" s="2">
        <v>107</v>
      </c>
      <c r="H226" s="2">
        <v>137</v>
      </c>
      <c r="I226" s="2">
        <f>weekly_deaths_location_cause_and_excess_deaths_hospital[[#This Row],[Cancer deaths]]-weekly_deaths_location_cause_and_excess_deaths_hospital[[#This Row],[Cancer five year average]]</f>
        <v>-30</v>
      </c>
      <c r="J226" s="2">
        <v>14</v>
      </c>
      <c r="K226" s="2">
        <v>27</v>
      </c>
      <c r="L226" s="2">
        <f>weekly_deaths_location_cause_and_excess_deaths_hospital[[#This Row],[Dementia / Alzhemier''s deaths]]-weekly_deaths_location_cause_and_excess_deaths_hospital[[#This Row],[Dementia / Alzheimer''s five year average]]</f>
        <v>-13</v>
      </c>
      <c r="M226" s="25">
        <v>145</v>
      </c>
      <c r="N226" s="25">
        <v>150</v>
      </c>
      <c r="O226" s="25">
        <f>weekly_deaths_location_cause_and_excess_deaths_hospital[[#This Row],[Circulatory deaths]]-weekly_deaths_location_cause_and_excess_deaths_hospital[[#This Row],[Circulatory five year average]]</f>
        <v>-5</v>
      </c>
      <c r="P226" s="25">
        <v>45</v>
      </c>
      <c r="Q226" s="25">
        <v>92</v>
      </c>
      <c r="R226" s="25">
        <f>weekly_deaths_location_cause_and_excess_deaths_hospital[[#This Row],[Respiratory deaths]]-weekly_deaths_location_cause_and_excess_deaths_hospital[[#This Row],[Respiratory five year average]]</f>
        <v>-47</v>
      </c>
      <c r="S226" s="25">
        <v>129</v>
      </c>
      <c r="T226" s="52">
        <v>140</v>
      </c>
      <c r="U226" s="52">
        <v>152</v>
      </c>
      <c r="V226" s="25">
        <f>weekly_deaths_location_cause_and_excess_deaths_hospital[[#This Row],[Other causes]]-weekly_deaths_location_cause_and_excess_deaths_hospital[[#This Row],[Other causes five year average]]</f>
        <v>-12</v>
      </c>
    </row>
    <row r="227" spans="1:23" x14ac:dyDescent="0.35">
      <c r="A227" s="14" t="s">
        <v>85</v>
      </c>
      <c r="B227" s="15">
        <v>50</v>
      </c>
      <c r="C227" s="16">
        <v>44172</v>
      </c>
      <c r="D227" s="57">
        <v>626</v>
      </c>
      <c r="E227" s="2">
        <v>605</v>
      </c>
      <c r="F227" s="2">
        <f>weekly_deaths_location_cause_and_excess_deaths_hospital[[#This Row],[All causes]]-weekly_deaths_location_cause_and_excess_deaths_hospital[[#This Row],[All causes five year average]]</f>
        <v>21</v>
      </c>
      <c r="G227" s="2">
        <v>126</v>
      </c>
      <c r="H227" s="2">
        <v>172</v>
      </c>
      <c r="I227" s="2">
        <f>weekly_deaths_location_cause_and_excess_deaths_hospital[[#This Row],[Cancer deaths]]-weekly_deaths_location_cause_and_excess_deaths_hospital[[#This Row],[Cancer five year average]]</f>
        <v>-46</v>
      </c>
      <c r="J227" s="2">
        <v>24</v>
      </c>
      <c r="K227" s="2">
        <v>30</v>
      </c>
      <c r="L227" s="2">
        <f>weekly_deaths_location_cause_and_excess_deaths_hospital[[#This Row],[Dementia / Alzhemier''s deaths]]-weekly_deaths_location_cause_and_excess_deaths_hospital[[#This Row],[Dementia / Alzheimer''s five year average]]</f>
        <v>-6</v>
      </c>
      <c r="M227" s="25">
        <v>149</v>
      </c>
      <c r="N227" s="25">
        <v>160</v>
      </c>
      <c r="O227" s="25">
        <f>weekly_deaths_location_cause_and_excess_deaths_hospital[[#This Row],[Circulatory deaths]]-weekly_deaths_location_cause_and_excess_deaths_hospital[[#This Row],[Circulatory five year average]]</f>
        <v>-11</v>
      </c>
      <c r="P227" s="25">
        <v>59</v>
      </c>
      <c r="Q227" s="25">
        <v>101</v>
      </c>
      <c r="R227" s="25">
        <f>weekly_deaths_location_cause_and_excess_deaths_hospital[[#This Row],[Respiratory deaths]]-weekly_deaths_location_cause_and_excess_deaths_hospital[[#This Row],[Respiratory five year average]]</f>
        <v>-42</v>
      </c>
      <c r="S227" s="25">
        <v>132</v>
      </c>
      <c r="T227" s="52">
        <v>136</v>
      </c>
      <c r="U227" s="52">
        <v>142</v>
      </c>
      <c r="V227" s="25">
        <f>weekly_deaths_location_cause_and_excess_deaths_hospital[[#This Row],[Other causes]]-weekly_deaths_location_cause_and_excess_deaths_hospital[[#This Row],[Other causes five year average]]</f>
        <v>-6</v>
      </c>
    </row>
    <row r="228" spans="1:23" x14ac:dyDescent="0.35">
      <c r="A228" s="14" t="s">
        <v>85</v>
      </c>
      <c r="B228" s="15">
        <v>51</v>
      </c>
      <c r="C228" s="16">
        <v>44179</v>
      </c>
      <c r="D228" s="57">
        <v>586</v>
      </c>
      <c r="E228" s="2">
        <v>621</v>
      </c>
      <c r="F228" s="2">
        <f>weekly_deaths_location_cause_and_excess_deaths_hospital[[#This Row],[All causes]]-weekly_deaths_location_cause_and_excess_deaths_hospital[[#This Row],[All causes five year average]]</f>
        <v>-35</v>
      </c>
      <c r="G228" s="2">
        <v>114</v>
      </c>
      <c r="H228" s="2">
        <v>156</v>
      </c>
      <c r="I228" s="2">
        <f>weekly_deaths_location_cause_and_excess_deaths_hospital[[#This Row],[Cancer deaths]]-weekly_deaths_location_cause_and_excess_deaths_hospital[[#This Row],[Cancer five year average]]</f>
        <v>-42</v>
      </c>
      <c r="J228" s="2">
        <v>26</v>
      </c>
      <c r="K228" s="2">
        <v>35</v>
      </c>
      <c r="L228" s="2">
        <f>weekly_deaths_location_cause_and_excess_deaths_hospital[[#This Row],[Dementia / Alzhemier''s deaths]]-weekly_deaths_location_cause_and_excess_deaths_hospital[[#This Row],[Dementia / Alzheimer''s five year average]]</f>
        <v>-9</v>
      </c>
      <c r="M228" s="25">
        <v>145</v>
      </c>
      <c r="N228" s="25">
        <v>169</v>
      </c>
      <c r="O228" s="25">
        <f>weekly_deaths_location_cause_and_excess_deaths_hospital[[#This Row],[Circulatory deaths]]-weekly_deaths_location_cause_and_excess_deaths_hospital[[#This Row],[Circulatory five year average]]</f>
        <v>-24</v>
      </c>
      <c r="P228" s="25">
        <v>55</v>
      </c>
      <c r="Q228" s="25">
        <v>107</v>
      </c>
      <c r="R228" s="25">
        <f>weekly_deaths_location_cause_and_excess_deaths_hospital[[#This Row],[Respiratory deaths]]-weekly_deaths_location_cause_and_excess_deaths_hospital[[#This Row],[Respiratory five year average]]</f>
        <v>-52</v>
      </c>
      <c r="S228" s="25">
        <v>103</v>
      </c>
      <c r="T228" s="52">
        <v>143</v>
      </c>
      <c r="U228" s="52">
        <v>153</v>
      </c>
      <c r="V228" s="25">
        <f>weekly_deaths_location_cause_and_excess_deaths_hospital[[#This Row],[Other causes]]-weekly_deaths_location_cause_and_excess_deaths_hospital[[#This Row],[Other causes five year average]]</f>
        <v>-10</v>
      </c>
    </row>
    <row r="229" spans="1:23" x14ac:dyDescent="0.35">
      <c r="A229" s="14" t="s">
        <v>85</v>
      </c>
      <c r="B229" s="15">
        <v>52</v>
      </c>
      <c r="C229" s="16">
        <v>44186</v>
      </c>
      <c r="D229" s="57">
        <v>564</v>
      </c>
      <c r="E229" s="2">
        <v>534</v>
      </c>
      <c r="F229" s="2">
        <f>weekly_deaths_location_cause_and_excess_deaths_hospital[[#This Row],[All causes]]-weekly_deaths_location_cause_and_excess_deaths_hospital[[#This Row],[All causes five year average]]</f>
        <v>30</v>
      </c>
      <c r="G229" s="2">
        <v>133</v>
      </c>
      <c r="H229" s="2">
        <v>125</v>
      </c>
      <c r="I229" s="2">
        <f>weekly_deaths_location_cause_and_excess_deaths_hospital[[#This Row],[Cancer deaths]]-weekly_deaths_location_cause_and_excess_deaths_hospital[[#This Row],[Cancer five year average]]</f>
        <v>8</v>
      </c>
      <c r="J229" s="2">
        <v>21</v>
      </c>
      <c r="K229" s="2">
        <v>26</v>
      </c>
      <c r="L229" s="2">
        <f>weekly_deaths_location_cause_and_excess_deaths_hospital[[#This Row],[Dementia / Alzhemier''s deaths]]-weekly_deaths_location_cause_and_excess_deaths_hospital[[#This Row],[Dementia / Alzheimer''s five year average]]</f>
        <v>-5</v>
      </c>
      <c r="M229" s="25">
        <v>139</v>
      </c>
      <c r="N229" s="25">
        <v>151</v>
      </c>
      <c r="O229" s="25">
        <f>weekly_deaths_location_cause_and_excess_deaths_hospital[[#This Row],[Circulatory deaths]]-weekly_deaths_location_cause_and_excess_deaths_hospital[[#This Row],[Circulatory five year average]]</f>
        <v>-12</v>
      </c>
      <c r="P229" s="25">
        <v>41</v>
      </c>
      <c r="Q229" s="25">
        <v>101</v>
      </c>
      <c r="R229" s="25">
        <f>weekly_deaths_location_cause_and_excess_deaths_hospital[[#This Row],[Respiratory deaths]]-weekly_deaths_location_cause_and_excess_deaths_hospital[[#This Row],[Respiratory five year average]]</f>
        <v>-60</v>
      </c>
      <c r="S229" s="25">
        <v>101</v>
      </c>
      <c r="T229" s="52">
        <v>129</v>
      </c>
      <c r="U229" s="52">
        <v>130</v>
      </c>
      <c r="V229" s="25">
        <f>weekly_deaths_location_cause_and_excess_deaths_hospital[[#This Row],[Other causes]]-weekly_deaths_location_cause_and_excess_deaths_hospital[[#This Row],[Other causes five year average]]</f>
        <v>-1</v>
      </c>
    </row>
    <row r="230" spans="1:23" s="62" customFormat="1" x14ac:dyDescent="0.35">
      <c r="A230" s="11" t="s">
        <v>85</v>
      </c>
      <c r="B230" s="15">
        <v>53</v>
      </c>
      <c r="C230" s="16">
        <v>44193</v>
      </c>
      <c r="D230" s="59">
        <v>550</v>
      </c>
      <c r="E230" s="52">
        <v>521</v>
      </c>
      <c r="F230" s="52">
        <f>weekly_deaths_location_cause_and_excess_deaths_hospital[[#This Row],[All causes]]-weekly_deaths_location_cause_and_excess_deaths_hospital[[#This Row],[All causes five year average]]</f>
        <v>29</v>
      </c>
      <c r="G230" s="52">
        <v>125</v>
      </c>
      <c r="H230" s="52">
        <v>138</v>
      </c>
      <c r="I230" s="52">
        <f>weekly_deaths_location_cause_and_excess_deaths_hospital[[#This Row],[Cancer deaths]]-weekly_deaths_location_cause_and_excess_deaths_hospital[[#This Row],[Cancer five year average]]</f>
        <v>-13</v>
      </c>
      <c r="J230" s="52">
        <v>20</v>
      </c>
      <c r="K230" s="52">
        <v>25</v>
      </c>
      <c r="L230" s="52">
        <f>weekly_deaths_location_cause_and_excess_deaths_hospital[[#This Row],[Dementia / Alzhemier''s deaths]]-weekly_deaths_location_cause_and_excess_deaths_hospital[[#This Row],[Dementia / Alzheimer''s five year average]]</f>
        <v>-5</v>
      </c>
      <c r="M230" s="25">
        <v>127</v>
      </c>
      <c r="N230" s="25">
        <v>139</v>
      </c>
      <c r="O230" s="25">
        <f>weekly_deaths_location_cause_and_excess_deaths_hospital[[#This Row],[Circulatory deaths]]-weekly_deaths_location_cause_and_excess_deaths_hospital[[#This Row],[Circulatory five year average]]</f>
        <v>-12</v>
      </c>
      <c r="P230" s="25">
        <v>48</v>
      </c>
      <c r="Q230" s="25">
        <v>103</v>
      </c>
      <c r="R230" s="25">
        <f>weekly_deaths_location_cause_and_excess_deaths_hospital[[#This Row],[Respiratory deaths]]-weekly_deaths_location_cause_and_excess_deaths_hospital[[#This Row],[Respiratory five year average]]</f>
        <v>-55</v>
      </c>
      <c r="S230" s="25">
        <v>93</v>
      </c>
      <c r="T230" s="52">
        <v>137</v>
      </c>
      <c r="U230" s="52">
        <v>116</v>
      </c>
      <c r="V230" s="25">
        <f>weekly_deaths_location_cause_and_excess_deaths_hospital[[#This Row],[Other causes]]-weekly_deaths_location_cause_and_excess_deaths_hospital[[#This Row],[Other causes five year average]]</f>
        <v>21</v>
      </c>
      <c r="W230" s="32"/>
    </row>
    <row r="231" spans="1:23" s="85" customFormat="1" x14ac:dyDescent="0.35">
      <c r="A231" s="83" t="s">
        <v>179</v>
      </c>
      <c r="B231" s="84" t="s">
        <v>179</v>
      </c>
      <c r="C231" s="84" t="s">
        <v>179</v>
      </c>
      <c r="D231" s="76">
        <f>SUBTOTAL(109,weekly_deaths_location_cause_and_excess_deaths_hospital[All causes])</f>
        <v>27970</v>
      </c>
      <c r="E231" s="77">
        <f>SUBTOTAL(109,weekly_deaths_location_cause_and_excess_deaths_hospital[All causes five year average])</f>
        <v>29050</v>
      </c>
      <c r="F231" s="77">
        <f>SUBTOTAL(109,weekly_deaths_location_cause_and_excess_deaths_hospital[All causes excess])</f>
        <v>-1080</v>
      </c>
      <c r="G231" s="77">
        <f>SUBTOTAL(109,weekly_deaths_location_cause_and_excess_deaths_hospital[Cancer deaths])</f>
        <v>6376</v>
      </c>
      <c r="H231" s="77">
        <f>SUBTOTAL(109,weekly_deaths_location_cause_and_excess_deaths_hospital[Cancer five year average])</f>
        <v>7743</v>
      </c>
      <c r="I231" s="77">
        <f>SUBTOTAL(109,weekly_deaths_location_cause_and_excess_deaths_hospital[Cancer excess])</f>
        <v>-1367</v>
      </c>
      <c r="J231" s="77">
        <f>SUBTOTAL(109,weekly_deaths_location_cause_and_excess_deaths_hospital[Dementia / Alzhemier''s deaths])</f>
        <v>1106</v>
      </c>
      <c r="K231" s="77">
        <f>SUBTOTAL(109,weekly_deaths_location_cause_and_excess_deaths_hospital[Dementia / Alzheimer''s five year average])</f>
        <v>1363</v>
      </c>
      <c r="L231" s="77">
        <f>SUBTOTAL(109,weekly_deaths_location_cause_and_excess_deaths_hospital[Dementia / Alzheimer''s 
excess])</f>
        <v>-257</v>
      </c>
      <c r="M231" s="77">
        <f>SUBTOTAL(109,weekly_deaths_location_cause_and_excess_deaths_hospital[Circulatory deaths])</f>
        <v>6923</v>
      </c>
      <c r="N231" s="77">
        <f>SUBTOTAL(109,weekly_deaths_location_cause_and_excess_deaths_hospital[Circulatory five year average])</f>
        <v>7871</v>
      </c>
      <c r="O231" s="77">
        <f>SUBTOTAL(109,weekly_deaths_location_cause_and_excess_deaths_hospital[Circulatory excess])</f>
        <v>-948</v>
      </c>
      <c r="P231" s="77">
        <f>SUBTOTAL(109,weekly_deaths_location_cause_and_excess_deaths_hospital[Respiratory deaths])</f>
        <v>3149</v>
      </c>
      <c r="Q231" s="77">
        <f>SUBTOTAL(109,weekly_deaths_location_cause_and_excess_deaths_hospital[Respiratory five year average])</f>
        <v>4632</v>
      </c>
      <c r="R231" s="77">
        <f>SUBTOTAL(109,weekly_deaths_location_cause_and_excess_deaths_hospital[All causes five year average])</f>
        <v>29050</v>
      </c>
      <c r="S231" s="77">
        <f>SUBTOTAL(109,weekly_deaths_location_cause_and_excess_deaths_hospital[All causes excess])</f>
        <v>-1080</v>
      </c>
      <c r="T231" s="77">
        <f>SUBTOTAL(109,weekly_deaths_location_cause_and_excess_deaths_hospital[Cancer deaths])</f>
        <v>6376</v>
      </c>
      <c r="U231" s="77">
        <f>SUBTOTAL(109,weekly_deaths_location_cause_and_excess_deaths_hospital[Cancer five year average])</f>
        <v>7743</v>
      </c>
      <c r="V231" s="78">
        <f>SUBTOTAL(109,weekly_deaths_location_cause_and_excess_deaths_hospital[Cancer excess])</f>
        <v>-1367</v>
      </c>
      <c r="W231" s="23"/>
    </row>
    <row r="233" spans="1:23" x14ac:dyDescent="0.35">
      <c r="A233" s="22" t="s">
        <v>160</v>
      </c>
      <c r="B233" s="23"/>
      <c r="E233" s="24"/>
      <c r="F233" s="24"/>
    </row>
    <row r="234" spans="1:23" ht="62.5" thickBot="1" x14ac:dyDescent="0.4">
      <c r="A234" s="9" t="s">
        <v>63</v>
      </c>
      <c r="B234" s="13" t="s">
        <v>57</v>
      </c>
      <c r="C234" s="13" t="s">
        <v>58</v>
      </c>
      <c r="D234" s="8" t="s">
        <v>80</v>
      </c>
      <c r="E234" s="9" t="s">
        <v>134</v>
      </c>
      <c r="F234" s="9" t="s">
        <v>139</v>
      </c>
      <c r="G234" s="7" t="s">
        <v>81</v>
      </c>
      <c r="H234" s="9" t="s">
        <v>135</v>
      </c>
      <c r="I234" s="9" t="s">
        <v>136</v>
      </c>
      <c r="J234" s="9" t="s">
        <v>84</v>
      </c>
      <c r="K234" s="9" t="s">
        <v>137</v>
      </c>
      <c r="L234" s="9" t="s">
        <v>138</v>
      </c>
      <c r="M234" s="9" t="s">
        <v>145</v>
      </c>
      <c r="N234" s="9" t="s">
        <v>146</v>
      </c>
      <c r="O234" s="9" t="s">
        <v>147</v>
      </c>
      <c r="P234" s="9" t="s">
        <v>82</v>
      </c>
      <c r="Q234" s="9" t="s">
        <v>140</v>
      </c>
      <c r="R234" s="9" t="s">
        <v>141</v>
      </c>
      <c r="S234" s="9" t="s">
        <v>83</v>
      </c>
      <c r="T234" s="9" t="s">
        <v>88</v>
      </c>
      <c r="U234" s="9" t="s">
        <v>142</v>
      </c>
      <c r="V234" s="26" t="s">
        <v>143</v>
      </c>
    </row>
    <row r="235" spans="1:23" x14ac:dyDescent="0.35">
      <c r="A235" s="14" t="s">
        <v>85</v>
      </c>
      <c r="B235" s="15">
        <v>1</v>
      </c>
      <c r="C235" s="16">
        <v>43829</v>
      </c>
      <c r="D235" s="57">
        <v>2</v>
      </c>
      <c r="E235" s="2">
        <v>6</v>
      </c>
      <c r="F235" s="2">
        <f>weekly_deaths_location_cause_and_excess_deaths_other_institution[[#This Row],[All causes]]-weekly_deaths_location_cause_and_excess_deaths_other_institution[[#This Row],[All causes five year average]]</f>
        <v>-4</v>
      </c>
      <c r="G235" s="2">
        <v>1</v>
      </c>
      <c r="H235" s="2">
        <v>2</v>
      </c>
      <c r="I235" s="2">
        <f>weekly_deaths_location_cause_and_excess_deaths_other_institution[[#This Row],[Cancer deaths]]-weekly_deaths_location_cause_and_excess_deaths_other_institution[[#This Row],[Cancer five year average]]</f>
        <v>-1</v>
      </c>
      <c r="J235" s="2">
        <v>0</v>
      </c>
      <c r="K235" s="2">
        <v>1</v>
      </c>
      <c r="L235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35" s="25">
        <v>1</v>
      </c>
      <c r="N235" s="25">
        <v>2</v>
      </c>
      <c r="O235" s="25">
        <f>weekly_deaths_location_cause_and_excess_deaths_other_institution[[#This Row],[Circulatory deaths]]-weekly_deaths_location_cause_and_excess_deaths_other_institution[[#This Row],[Circulatory five year average]]</f>
        <v>-1</v>
      </c>
      <c r="P235" s="25">
        <v>0</v>
      </c>
      <c r="Q235" s="25">
        <v>2</v>
      </c>
      <c r="R235" s="25">
        <f>weekly_deaths_location_cause_and_excess_deaths_other_institution[[#This Row],[Respiratory deaths]]-weekly_deaths_location_cause_and_excess_deaths_other_institution[[#This Row],[Respiratory five year average]]</f>
        <v>-2</v>
      </c>
      <c r="S235" s="25">
        <v>0</v>
      </c>
      <c r="T235" s="52">
        <v>0</v>
      </c>
      <c r="U235" s="52">
        <v>2</v>
      </c>
      <c r="V235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36" spans="1:23" x14ac:dyDescent="0.35">
      <c r="A236" s="14" t="s">
        <v>85</v>
      </c>
      <c r="B236" s="15">
        <v>2</v>
      </c>
      <c r="C236" s="16">
        <v>43836</v>
      </c>
      <c r="D236" s="57">
        <v>9</v>
      </c>
      <c r="E236" s="2">
        <v>6</v>
      </c>
      <c r="F236" s="2">
        <f>weekly_deaths_location_cause_and_excess_deaths_other_institution[[#This Row],[All causes]]-weekly_deaths_location_cause_and_excess_deaths_other_institution[[#This Row],[All causes five year average]]</f>
        <v>3</v>
      </c>
      <c r="G236" s="2">
        <v>1</v>
      </c>
      <c r="H236" s="2">
        <v>3</v>
      </c>
      <c r="I236" s="2">
        <f>weekly_deaths_location_cause_and_excess_deaths_other_institution[[#This Row],[Cancer deaths]]-weekly_deaths_location_cause_and_excess_deaths_other_institution[[#This Row],[Cancer five year average]]</f>
        <v>-2</v>
      </c>
      <c r="J236" s="2">
        <v>4</v>
      </c>
      <c r="K236" s="2">
        <v>1</v>
      </c>
      <c r="L236" s="2">
        <f>weekly_deaths_location_cause_and_excess_deaths_other_institution[[#This Row],[Dementia / Alzhemier''s deaths]]-weekly_deaths_location_cause_and_excess_deaths_other_institution[[#This Row],[Dementia / Alzheimer''s five year average]]</f>
        <v>3</v>
      </c>
      <c r="M236" s="25">
        <v>2</v>
      </c>
      <c r="N236" s="25">
        <v>2</v>
      </c>
      <c r="O236" s="25">
        <f>weekly_deaths_location_cause_and_excess_deaths_other_institution[[#This Row],[Circulatory deaths]]-weekly_deaths_location_cause_and_excess_deaths_other_institution[[#This Row],[Circulatory five year average]]</f>
        <v>0</v>
      </c>
      <c r="P236" s="25">
        <v>0</v>
      </c>
      <c r="Q236" s="25">
        <v>3</v>
      </c>
      <c r="R236" s="25">
        <f>weekly_deaths_location_cause_and_excess_deaths_other_institution[[#This Row],[Respiratory deaths]]-weekly_deaths_location_cause_and_excess_deaths_other_institution[[#This Row],[Respiratory five year average]]</f>
        <v>-3</v>
      </c>
      <c r="S236" s="25">
        <v>0</v>
      </c>
      <c r="T236" s="52">
        <v>2</v>
      </c>
      <c r="U236" s="52">
        <v>1</v>
      </c>
      <c r="V236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37" spans="1:23" x14ac:dyDescent="0.35">
      <c r="A237" s="14" t="s">
        <v>85</v>
      </c>
      <c r="B237" s="15">
        <v>3</v>
      </c>
      <c r="C237" s="16">
        <v>43843</v>
      </c>
      <c r="D237" s="57">
        <v>7</v>
      </c>
      <c r="E237" s="2">
        <v>5</v>
      </c>
      <c r="F237" s="2">
        <f>weekly_deaths_location_cause_and_excess_deaths_other_institution[[#This Row],[All causes]]-weekly_deaths_location_cause_and_excess_deaths_other_institution[[#This Row],[All causes five year average]]</f>
        <v>2</v>
      </c>
      <c r="G237" s="2">
        <v>4</v>
      </c>
      <c r="H237" s="2">
        <v>2</v>
      </c>
      <c r="I237" s="2">
        <f>weekly_deaths_location_cause_and_excess_deaths_other_institution[[#This Row],[Cancer deaths]]-weekly_deaths_location_cause_and_excess_deaths_other_institution[[#This Row],[Cancer five year average]]</f>
        <v>2</v>
      </c>
      <c r="J237" s="2">
        <v>2</v>
      </c>
      <c r="K237" s="2">
        <v>3</v>
      </c>
      <c r="L237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37" s="25">
        <v>0</v>
      </c>
      <c r="N237" s="25">
        <v>2</v>
      </c>
      <c r="O237" s="25">
        <f>weekly_deaths_location_cause_and_excess_deaths_other_institution[[#This Row],[Circulatory deaths]]-weekly_deaths_location_cause_and_excess_deaths_other_institution[[#This Row],[Circulatory five year average]]</f>
        <v>-2</v>
      </c>
      <c r="P237" s="25">
        <v>0</v>
      </c>
      <c r="Q237" s="25">
        <v>1</v>
      </c>
      <c r="R237" s="25">
        <f>weekly_deaths_location_cause_and_excess_deaths_other_institution[[#This Row],[Respiratory deaths]]-weekly_deaths_location_cause_and_excess_deaths_other_institution[[#This Row],[Respiratory five year average]]</f>
        <v>-1</v>
      </c>
      <c r="S237" s="25">
        <v>0</v>
      </c>
      <c r="T237" s="52">
        <v>1</v>
      </c>
      <c r="U237" s="52">
        <v>3</v>
      </c>
      <c r="V237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38" spans="1:23" x14ac:dyDescent="0.35">
      <c r="A238" s="14" t="s">
        <v>85</v>
      </c>
      <c r="B238" s="15">
        <v>4</v>
      </c>
      <c r="C238" s="16">
        <v>43850</v>
      </c>
      <c r="D238" s="57">
        <v>5</v>
      </c>
      <c r="E238" s="2">
        <v>5</v>
      </c>
      <c r="F238" s="2">
        <f>weekly_deaths_location_cause_and_excess_deaths_other_institution[[#This Row],[All causes]]-weekly_deaths_location_cause_and_excess_deaths_other_institution[[#This Row],[All causes five year average]]</f>
        <v>0</v>
      </c>
      <c r="G238" s="2">
        <v>4</v>
      </c>
      <c r="H238" s="2">
        <v>2</v>
      </c>
      <c r="I238" s="2">
        <f>weekly_deaths_location_cause_and_excess_deaths_other_institution[[#This Row],[Cancer deaths]]-weekly_deaths_location_cause_and_excess_deaths_other_institution[[#This Row],[Cancer five year average]]</f>
        <v>2</v>
      </c>
      <c r="J238" s="2">
        <v>0</v>
      </c>
      <c r="K238" s="2">
        <v>2</v>
      </c>
      <c r="L238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38" s="25">
        <v>0</v>
      </c>
      <c r="N238" s="25">
        <v>2</v>
      </c>
      <c r="O238" s="25">
        <f>weekly_deaths_location_cause_and_excess_deaths_other_institution[[#This Row],[Circulatory deaths]]-weekly_deaths_location_cause_and_excess_deaths_other_institution[[#This Row],[Circulatory five year average]]</f>
        <v>-2</v>
      </c>
      <c r="P238" s="25">
        <v>0</v>
      </c>
      <c r="Q238" s="25">
        <v>0</v>
      </c>
      <c r="R238" s="25">
        <f>weekly_deaths_location_cause_and_excess_deaths_other_institution[[#This Row],[Respiratory deaths]]-weekly_deaths_location_cause_and_excess_deaths_other_institution[[#This Row],[Respiratory five year average]]</f>
        <v>0</v>
      </c>
      <c r="S238" s="25">
        <v>0</v>
      </c>
      <c r="T238" s="52">
        <v>1</v>
      </c>
      <c r="U238" s="52">
        <v>1</v>
      </c>
      <c r="V238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39" spans="1:23" x14ac:dyDescent="0.35">
      <c r="A239" s="14" t="s">
        <v>85</v>
      </c>
      <c r="B239" s="15">
        <v>5</v>
      </c>
      <c r="C239" s="16">
        <v>43857</v>
      </c>
      <c r="D239" s="57">
        <v>7</v>
      </c>
      <c r="E239" s="2">
        <v>5</v>
      </c>
      <c r="F239" s="2">
        <f>weekly_deaths_location_cause_and_excess_deaths_other_institution[[#This Row],[All causes]]-weekly_deaths_location_cause_and_excess_deaths_other_institution[[#This Row],[All causes five year average]]</f>
        <v>2</v>
      </c>
      <c r="G239" s="2">
        <v>3</v>
      </c>
      <c r="H239" s="2">
        <v>3</v>
      </c>
      <c r="I239" s="2">
        <f>weekly_deaths_location_cause_and_excess_deaths_other_institution[[#This Row],[Cancer deaths]]-weekly_deaths_location_cause_and_excess_deaths_other_institution[[#This Row],[Cancer five year average]]</f>
        <v>0</v>
      </c>
      <c r="J239" s="2">
        <v>2</v>
      </c>
      <c r="K239" s="2">
        <v>1</v>
      </c>
      <c r="L239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39" s="25">
        <v>1</v>
      </c>
      <c r="N239" s="25">
        <v>1</v>
      </c>
      <c r="O239" s="25">
        <f>weekly_deaths_location_cause_and_excess_deaths_other_institution[[#This Row],[Circulatory deaths]]-weekly_deaths_location_cause_and_excess_deaths_other_institution[[#This Row],[Circulatory five year average]]</f>
        <v>0</v>
      </c>
      <c r="P239" s="25">
        <v>0</v>
      </c>
      <c r="Q239" s="25">
        <v>1</v>
      </c>
      <c r="R239" s="25">
        <f>weekly_deaths_location_cause_and_excess_deaths_other_institution[[#This Row],[Respiratory deaths]]-weekly_deaths_location_cause_and_excess_deaths_other_institution[[#This Row],[Respiratory five year average]]</f>
        <v>-1</v>
      </c>
      <c r="S239" s="25">
        <v>0</v>
      </c>
      <c r="T239" s="52">
        <v>1</v>
      </c>
      <c r="U239" s="52">
        <v>2</v>
      </c>
      <c r="V239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40" spans="1:23" x14ac:dyDescent="0.35">
      <c r="A240" s="14" t="s">
        <v>85</v>
      </c>
      <c r="B240" s="15">
        <v>6</v>
      </c>
      <c r="C240" s="16">
        <v>43864</v>
      </c>
      <c r="D240" s="57">
        <v>6</v>
      </c>
      <c r="E240" s="2">
        <v>5</v>
      </c>
      <c r="F240" s="2">
        <f>weekly_deaths_location_cause_and_excess_deaths_other_institution[[#This Row],[All causes]]-weekly_deaths_location_cause_and_excess_deaths_other_institution[[#This Row],[All causes five year average]]</f>
        <v>1</v>
      </c>
      <c r="G240" s="2">
        <v>3</v>
      </c>
      <c r="H240" s="2">
        <v>1</v>
      </c>
      <c r="I240" s="2">
        <f>weekly_deaths_location_cause_and_excess_deaths_other_institution[[#This Row],[Cancer deaths]]-weekly_deaths_location_cause_and_excess_deaths_other_institution[[#This Row],[Cancer five year average]]</f>
        <v>2</v>
      </c>
      <c r="J240" s="2">
        <v>0</v>
      </c>
      <c r="K240" s="2">
        <v>2</v>
      </c>
      <c r="L240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40" s="25">
        <v>3</v>
      </c>
      <c r="N240" s="25">
        <v>2</v>
      </c>
      <c r="O240" s="25">
        <f>weekly_deaths_location_cause_and_excess_deaths_other_institution[[#This Row],[Circulatory deaths]]-weekly_deaths_location_cause_and_excess_deaths_other_institution[[#This Row],[Circulatory five year average]]</f>
        <v>1</v>
      </c>
      <c r="P240" s="25">
        <v>0</v>
      </c>
      <c r="Q240" s="25">
        <v>1</v>
      </c>
      <c r="R240" s="25">
        <f>weekly_deaths_location_cause_and_excess_deaths_other_institution[[#This Row],[Respiratory deaths]]-weekly_deaths_location_cause_and_excess_deaths_other_institution[[#This Row],[Respiratory five year average]]</f>
        <v>-1</v>
      </c>
      <c r="S240" s="25">
        <v>0</v>
      </c>
      <c r="T240" s="52">
        <v>0</v>
      </c>
      <c r="U240" s="52">
        <v>2</v>
      </c>
      <c r="V240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41" spans="1:22" x14ac:dyDescent="0.35">
      <c r="A241" s="14" t="s">
        <v>85</v>
      </c>
      <c r="B241" s="15">
        <v>7</v>
      </c>
      <c r="C241" s="16">
        <v>43871</v>
      </c>
      <c r="D241" s="57">
        <v>2</v>
      </c>
      <c r="E241" s="2">
        <v>5</v>
      </c>
      <c r="F241" s="2">
        <f>weekly_deaths_location_cause_and_excess_deaths_other_institution[[#This Row],[All causes]]-weekly_deaths_location_cause_and_excess_deaths_other_institution[[#This Row],[All causes five year average]]</f>
        <v>-3</v>
      </c>
      <c r="G241" s="2">
        <v>2</v>
      </c>
      <c r="H241" s="2">
        <v>2</v>
      </c>
      <c r="I241" s="2">
        <f>weekly_deaths_location_cause_and_excess_deaths_other_institution[[#This Row],[Cancer deaths]]-weekly_deaths_location_cause_and_excess_deaths_other_institution[[#This Row],[Cancer five year average]]</f>
        <v>0</v>
      </c>
      <c r="J241" s="2">
        <v>0</v>
      </c>
      <c r="K241" s="2">
        <v>2</v>
      </c>
      <c r="L241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41" s="25">
        <v>0</v>
      </c>
      <c r="N241" s="25">
        <v>1</v>
      </c>
      <c r="O241" s="25">
        <f>weekly_deaths_location_cause_and_excess_deaths_other_institution[[#This Row],[Circulatory deaths]]-weekly_deaths_location_cause_and_excess_deaths_other_institution[[#This Row],[Circulatory five year average]]</f>
        <v>-1</v>
      </c>
      <c r="P241" s="25">
        <v>0</v>
      </c>
      <c r="Q241" s="25">
        <v>1</v>
      </c>
      <c r="R241" s="25">
        <f>weekly_deaths_location_cause_and_excess_deaths_other_institution[[#This Row],[Respiratory deaths]]-weekly_deaths_location_cause_and_excess_deaths_other_institution[[#This Row],[Respiratory five year average]]</f>
        <v>-1</v>
      </c>
      <c r="S241" s="25">
        <v>0</v>
      </c>
      <c r="T241" s="52">
        <v>0</v>
      </c>
      <c r="U241" s="52">
        <v>2</v>
      </c>
      <c r="V241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42" spans="1:22" x14ac:dyDescent="0.35">
      <c r="A242" s="14" t="s">
        <v>85</v>
      </c>
      <c r="B242" s="15">
        <v>8</v>
      </c>
      <c r="C242" s="16">
        <v>43878</v>
      </c>
      <c r="D242" s="57">
        <v>8</v>
      </c>
      <c r="E242" s="2">
        <v>5</v>
      </c>
      <c r="F242" s="2">
        <f>weekly_deaths_location_cause_and_excess_deaths_other_institution[[#This Row],[All causes]]-weekly_deaths_location_cause_and_excess_deaths_other_institution[[#This Row],[All causes five year average]]</f>
        <v>3</v>
      </c>
      <c r="G242" s="2">
        <v>1</v>
      </c>
      <c r="H242" s="2">
        <v>2</v>
      </c>
      <c r="I242" s="2">
        <f>weekly_deaths_location_cause_and_excess_deaths_other_institution[[#This Row],[Cancer deaths]]-weekly_deaths_location_cause_and_excess_deaths_other_institution[[#This Row],[Cancer five year average]]</f>
        <v>-1</v>
      </c>
      <c r="J242" s="2">
        <v>0</v>
      </c>
      <c r="K242" s="2">
        <v>3</v>
      </c>
      <c r="L242" s="2">
        <f>weekly_deaths_location_cause_and_excess_deaths_other_institution[[#This Row],[Dementia / Alzhemier''s deaths]]-weekly_deaths_location_cause_and_excess_deaths_other_institution[[#This Row],[Dementia / Alzheimer''s five year average]]</f>
        <v>-3</v>
      </c>
      <c r="M242" s="25">
        <v>3</v>
      </c>
      <c r="N242" s="25">
        <v>1</v>
      </c>
      <c r="O242" s="25">
        <f>weekly_deaths_location_cause_and_excess_deaths_other_institution[[#This Row],[Circulatory deaths]]-weekly_deaths_location_cause_and_excess_deaths_other_institution[[#This Row],[Circulatory five year average]]</f>
        <v>2</v>
      </c>
      <c r="P242" s="25">
        <v>2</v>
      </c>
      <c r="Q242" s="25">
        <v>0</v>
      </c>
      <c r="R242" s="25">
        <f>weekly_deaths_location_cause_and_excess_deaths_other_institution[[#This Row],[Respiratory deaths]]-weekly_deaths_location_cause_and_excess_deaths_other_institution[[#This Row],[Respiratory five year average]]</f>
        <v>2</v>
      </c>
      <c r="S242" s="25">
        <v>0</v>
      </c>
      <c r="T242" s="52">
        <v>2</v>
      </c>
      <c r="U242" s="52">
        <v>1</v>
      </c>
      <c r="V242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43" spans="1:22" x14ac:dyDescent="0.35">
      <c r="A243" s="14" t="s">
        <v>85</v>
      </c>
      <c r="B243" s="15">
        <v>9</v>
      </c>
      <c r="C243" s="16">
        <v>43885</v>
      </c>
      <c r="D243" s="57">
        <v>4</v>
      </c>
      <c r="E243" s="2">
        <v>5</v>
      </c>
      <c r="F243" s="2">
        <f>weekly_deaths_location_cause_and_excess_deaths_other_institution[[#This Row],[All causes]]-weekly_deaths_location_cause_and_excess_deaths_other_institution[[#This Row],[All causes five year average]]</f>
        <v>-1</v>
      </c>
      <c r="G243" s="2">
        <v>2</v>
      </c>
      <c r="H243" s="2">
        <v>4</v>
      </c>
      <c r="I243" s="2">
        <f>weekly_deaths_location_cause_and_excess_deaths_other_institution[[#This Row],[Cancer deaths]]-weekly_deaths_location_cause_and_excess_deaths_other_institution[[#This Row],[Cancer five year average]]</f>
        <v>-2</v>
      </c>
      <c r="J243" s="2">
        <v>0</v>
      </c>
      <c r="K243" s="2">
        <v>3</v>
      </c>
      <c r="L243" s="2">
        <f>weekly_deaths_location_cause_and_excess_deaths_other_institution[[#This Row],[Dementia / Alzhemier''s deaths]]-weekly_deaths_location_cause_and_excess_deaths_other_institution[[#This Row],[Dementia / Alzheimer''s five year average]]</f>
        <v>-3</v>
      </c>
      <c r="M243" s="25">
        <v>2</v>
      </c>
      <c r="N243" s="25">
        <v>0</v>
      </c>
      <c r="O243" s="25">
        <f>weekly_deaths_location_cause_and_excess_deaths_other_institution[[#This Row],[Circulatory deaths]]-weekly_deaths_location_cause_and_excess_deaths_other_institution[[#This Row],[Circulatory five year average]]</f>
        <v>2</v>
      </c>
      <c r="P243" s="25">
        <v>0</v>
      </c>
      <c r="Q243" s="25">
        <v>0</v>
      </c>
      <c r="R243" s="25">
        <f>weekly_deaths_location_cause_and_excess_deaths_other_institution[[#This Row],[Respiratory deaths]]-weekly_deaths_location_cause_and_excess_deaths_other_institution[[#This Row],[Respiratory five year average]]</f>
        <v>0</v>
      </c>
      <c r="S243" s="25">
        <v>0</v>
      </c>
      <c r="T243" s="52">
        <v>0</v>
      </c>
      <c r="U243" s="52">
        <v>2</v>
      </c>
      <c r="V243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44" spans="1:22" x14ac:dyDescent="0.35">
      <c r="A244" s="14" t="s">
        <v>85</v>
      </c>
      <c r="B244" s="15">
        <v>10</v>
      </c>
      <c r="C244" s="16">
        <v>43892</v>
      </c>
      <c r="D244" s="57">
        <v>6</v>
      </c>
      <c r="E244" s="2">
        <v>4</v>
      </c>
      <c r="F244" s="2">
        <f>weekly_deaths_location_cause_and_excess_deaths_other_institution[[#This Row],[All causes]]-weekly_deaths_location_cause_and_excess_deaths_other_institution[[#This Row],[All causes five year average]]</f>
        <v>2</v>
      </c>
      <c r="G244" s="2">
        <v>5</v>
      </c>
      <c r="H244" s="2">
        <v>2</v>
      </c>
      <c r="I244" s="2">
        <f>weekly_deaths_location_cause_and_excess_deaths_other_institution[[#This Row],[Cancer deaths]]-weekly_deaths_location_cause_and_excess_deaths_other_institution[[#This Row],[Cancer five year average]]</f>
        <v>3</v>
      </c>
      <c r="J244" s="2">
        <v>0</v>
      </c>
      <c r="K244" s="2">
        <v>1</v>
      </c>
      <c r="L244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44" s="25">
        <v>1</v>
      </c>
      <c r="N244" s="25">
        <v>2</v>
      </c>
      <c r="O244" s="25">
        <f>weekly_deaths_location_cause_and_excess_deaths_other_institution[[#This Row],[Circulatory deaths]]-weekly_deaths_location_cause_and_excess_deaths_other_institution[[#This Row],[Circulatory five year average]]</f>
        <v>-1</v>
      </c>
      <c r="P244" s="25">
        <v>0</v>
      </c>
      <c r="Q244" s="25">
        <v>1</v>
      </c>
      <c r="R244" s="25">
        <f>weekly_deaths_location_cause_and_excess_deaths_other_institution[[#This Row],[Respiratory deaths]]-weekly_deaths_location_cause_and_excess_deaths_other_institution[[#This Row],[Respiratory five year average]]</f>
        <v>-1</v>
      </c>
      <c r="S244" s="25">
        <v>0</v>
      </c>
      <c r="T244" s="52">
        <v>0</v>
      </c>
      <c r="U244" s="52">
        <v>2</v>
      </c>
      <c r="V244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45" spans="1:22" x14ac:dyDescent="0.35">
      <c r="A245" s="14" t="s">
        <v>85</v>
      </c>
      <c r="B245" s="15">
        <v>11</v>
      </c>
      <c r="C245" s="16">
        <v>43899</v>
      </c>
      <c r="D245" s="57">
        <v>5</v>
      </c>
      <c r="E245" s="2">
        <v>5</v>
      </c>
      <c r="F245" s="2">
        <f>weekly_deaths_location_cause_and_excess_deaths_other_institution[[#This Row],[All causes]]-weekly_deaths_location_cause_and_excess_deaths_other_institution[[#This Row],[All causes five year average]]</f>
        <v>0</v>
      </c>
      <c r="G245" s="2">
        <v>3</v>
      </c>
      <c r="H245" s="2">
        <v>3</v>
      </c>
      <c r="I245" s="2">
        <f>weekly_deaths_location_cause_and_excess_deaths_other_institution[[#This Row],[Cancer deaths]]-weekly_deaths_location_cause_and_excess_deaths_other_institution[[#This Row],[Cancer five year average]]</f>
        <v>0</v>
      </c>
      <c r="J245" s="2">
        <v>2</v>
      </c>
      <c r="K245" s="2">
        <v>2</v>
      </c>
      <c r="L245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45" s="25">
        <v>0</v>
      </c>
      <c r="N245" s="25">
        <v>2</v>
      </c>
      <c r="O245" s="25">
        <f>weekly_deaths_location_cause_and_excess_deaths_other_institution[[#This Row],[Circulatory deaths]]-weekly_deaths_location_cause_and_excess_deaths_other_institution[[#This Row],[Circulatory five year average]]</f>
        <v>-2</v>
      </c>
      <c r="P245" s="25">
        <v>0</v>
      </c>
      <c r="Q245" s="25">
        <v>1</v>
      </c>
      <c r="R245" s="25">
        <f>weekly_deaths_location_cause_and_excess_deaths_other_institution[[#This Row],[Respiratory deaths]]-weekly_deaths_location_cause_and_excess_deaths_other_institution[[#This Row],[Respiratory five year average]]</f>
        <v>-1</v>
      </c>
      <c r="S245" s="25">
        <v>0</v>
      </c>
      <c r="T245" s="52">
        <v>0</v>
      </c>
      <c r="U245" s="52">
        <v>1</v>
      </c>
      <c r="V245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46" spans="1:22" x14ac:dyDescent="0.35">
      <c r="A246" s="14" t="s">
        <v>85</v>
      </c>
      <c r="B246" s="15">
        <v>12</v>
      </c>
      <c r="C246" s="16">
        <v>43906</v>
      </c>
      <c r="D246" s="57">
        <v>11</v>
      </c>
      <c r="E246" s="2">
        <v>6</v>
      </c>
      <c r="F246" s="2">
        <f>weekly_deaths_location_cause_and_excess_deaths_other_institution[[#This Row],[All causes]]-weekly_deaths_location_cause_and_excess_deaths_other_institution[[#This Row],[All causes five year average]]</f>
        <v>5</v>
      </c>
      <c r="G246" s="2">
        <v>5</v>
      </c>
      <c r="H246" s="2">
        <v>3</v>
      </c>
      <c r="I246" s="2">
        <f>weekly_deaths_location_cause_and_excess_deaths_other_institution[[#This Row],[Cancer deaths]]-weekly_deaths_location_cause_and_excess_deaths_other_institution[[#This Row],[Cancer five year average]]</f>
        <v>2</v>
      </c>
      <c r="J246" s="2">
        <v>2</v>
      </c>
      <c r="K246" s="2">
        <v>1</v>
      </c>
      <c r="L246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46" s="25">
        <v>0</v>
      </c>
      <c r="N246" s="25">
        <v>2</v>
      </c>
      <c r="O246" s="25">
        <f>weekly_deaths_location_cause_and_excess_deaths_other_institution[[#This Row],[Circulatory deaths]]-weekly_deaths_location_cause_and_excess_deaths_other_institution[[#This Row],[Circulatory five year average]]</f>
        <v>-2</v>
      </c>
      <c r="P246" s="25">
        <v>1</v>
      </c>
      <c r="Q246" s="25">
        <v>1</v>
      </c>
      <c r="R246" s="25">
        <f>weekly_deaths_location_cause_and_excess_deaths_other_institution[[#This Row],[Respiratory deaths]]-weekly_deaths_location_cause_and_excess_deaths_other_institution[[#This Row],[Respiratory five year average]]</f>
        <v>0</v>
      </c>
      <c r="S246" s="25">
        <v>0</v>
      </c>
      <c r="T246" s="52">
        <v>3</v>
      </c>
      <c r="U246" s="52">
        <v>1</v>
      </c>
      <c r="V246" s="25">
        <f>weekly_deaths_location_cause_and_excess_deaths_other_institution[[#This Row],[Other causes]]-weekly_deaths_location_cause_and_excess_deaths_other_institution[[#This Row],[Other causes five year average]]</f>
        <v>2</v>
      </c>
    </row>
    <row r="247" spans="1:22" x14ac:dyDescent="0.35">
      <c r="A247" s="14" t="s">
        <v>85</v>
      </c>
      <c r="B247" s="15">
        <v>13</v>
      </c>
      <c r="C247" s="16">
        <v>43913</v>
      </c>
      <c r="D247" s="57">
        <v>1</v>
      </c>
      <c r="E247" s="2">
        <v>5</v>
      </c>
      <c r="F247" s="2">
        <f>weekly_deaths_location_cause_and_excess_deaths_other_institution[[#This Row],[All causes]]-weekly_deaths_location_cause_and_excess_deaths_other_institution[[#This Row],[All causes five year average]]</f>
        <v>-4</v>
      </c>
      <c r="G247" s="2">
        <v>0</v>
      </c>
      <c r="H247" s="2">
        <v>2</v>
      </c>
      <c r="I247" s="2">
        <f>weekly_deaths_location_cause_and_excess_deaths_other_institution[[#This Row],[Cancer deaths]]-weekly_deaths_location_cause_and_excess_deaths_other_institution[[#This Row],[Cancer five year average]]</f>
        <v>-2</v>
      </c>
      <c r="J247" s="2">
        <v>0</v>
      </c>
      <c r="K247" s="2">
        <v>1</v>
      </c>
      <c r="L247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47" s="25">
        <v>0</v>
      </c>
      <c r="N247" s="25">
        <v>1</v>
      </c>
      <c r="O247" s="25">
        <f>weekly_deaths_location_cause_and_excess_deaths_other_institution[[#This Row],[Circulatory deaths]]-weekly_deaths_location_cause_and_excess_deaths_other_institution[[#This Row],[Circulatory five year average]]</f>
        <v>-1</v>
      </c>
      <c r="P247" s="25">
        <v>0</v>
      </c>
      <c r="Q247" s="25">
        <v>2</v>
      </c>
      <c r="R247" s="25">
        <f>weekly_deaths_location_cause_and_excess_deaths_other_institution[[#This Row],[Respiratory deaths]]-weekly_deaths_location_cause_and_excess_deaths_other_institution[[#This Row],[Respiratory five year average]]</f>
        <v>-2</v>
      </c>
      <c r="S247" s="25">
        <v>0</v>
      </c>
      <c r="T247" s="52">
        <v>1</v>
      </c>
      <c r="U247" s="52">
        <v>1</v>
      </c>
      <c r="V247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48" spans="1:22" x14ac:dyDescent="0.35">
      <c r="A248" s="14" t="s">
        <v>85</v>
      </c>
      <c r="B248" s="15">
        <v>14</v>
      </c>
      <c r="C248" s="16">
        <v>43920</v>
      </c>
      <c r="D248" s="57">
        <v>7</v>
      </c>
      <c r="E248" s="2">
        <v>4</v>
      </c>
      <c r="F248" s="2">
        <f>weekly_deaths_location_cause_and_excess_deaths_other_institution[[#This Row],[All causes]]-weekly_deaths_location_cause_and_excess_deaths_other_institution[[#This Row],[All causes five year average]]</f>
        <v>3</v>
      </c>
      <c r="G248" s="2">
        <v>1</v>
      </c>
      <c r="H248" s="2">
        <v>3</v>
      </c>
      <c r="I248" s="2">
        <f>weekly_deaths_location_cause_and_excess_deaths_other_institution[[#This Row],[Cancer deaths]]-weekly_deaths_location_cause_and_excess_deaths_other_institution[[#This Row],[Cancer five year average]]</f>
        <v>-2</v>
      </c>
      <c r="J248" s="2">
        <v>2</v>
      </c>
      <c r="K248" s="2">
        <v>1</v>
      </c>
      <c r="L248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48" s="25">
        <v>1</v>
      </c>
      <c r="N248" s="25">
        <v>0</v>
      </c>
      <c r="O248" s="25">
        <f>weekly_deaths_location_cause_and_excess_deaths_other_institution[[#This Row],[Circulatory deaths]]-weekly_deaths_location_cause_and_excess_deaths_other_institution[[#This Row],[Circulatory five year average]]</f>
        <v>1</v>
      </c>
      <c r="P248" s="25">
        <v>0</v>
      </c>
      <c r="Q248" s="25">
        <v>1</v>
      </c>
      <c r="R248" s="25">
        <f>weekly_deaths_location_cause_and_excess_deaths_other_institution[[#This Row],[Respiratory deaths]]-weekly_deaths_location_cause_and_excess_deaths_other_institution[[#This Row],[Respiratory five year average]]</f>
        <v>-1</v>
      </c>
      <c r="S248" s="25">
        <v>1</v>
      </c>
      <c r="T248" s="52">
        <v>2</v>
      </c>
      <c r="U248" s="52">
        <v>1</v>
      </c>
      <c r="V248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49" spans="1:22" x14ac:dyDescent="0.35">
      <c r="A249" s="14" t="s">
        <v>85</v>
      </c>
      <c r="B249" s="15">
        <v>15</v>
      </c>
      <c r="C249" s="16">
        <v>43927</v>
      </c>
      <c r="D249" s="57">
        <v>10</v>
      </c>
      <c r="E249" s="2">
        <v>4</v>
      </c>
      <c r="F249" s="2">
        <f>weekly_deaths_location_cause_and_excess_deaths_other_institution[[#This Row],[All causes]]-weekly_deaths_location_cause_and_excess_deaths_other_institution[[#This Row],[All causes five year average]]</f>
        <v>6</v>
      </c>
      <c r="G249" s="2">
        <v>4</v>
      </c>
      <c r="H249" s="2">
        <v>1</v>
      </c>
      <c r="I249" s="2">
        <f>weekly_deaths_location_cause_and_excess_deaths_other_institution[[#This Row],[Cancer deaths]]-weekly_deaths_location_cause_and_excess_deaths_other_institution[[#This Row],[Cancer five year average]]</f>
        <v>3</v>
      </c>
      <c r="J249" s="2">
        <v>3</v>
      </c>
      <c r="K249" s="2">
        <v>2</v>
      </c>
      <c r="L249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49" s="25">
        <v>3</v>
      </c>
      <c r="N249" s="25">
        <v>1</v>
      </c>
      <c r="O249" s="25">
        <f>weekly_deaths_location_cause_and_excess_deaths_other_institution[[#This Row],[Circulatory deaths]]-weekly_deaths_location_cause_and_excess_deaths_other_institution[[#This Row],[Circulatory five year average]]</f>
        <v>2</v>
      </c>
      <c r="P249" s="25">
        <v>0</v>
      </c>
      <c r="Q249" s="25">
        <v>1</v>
      </c>
      <c r="R249" s="25">
        <f>weekly_deaths_location_cause_and_excess_deaths_other_institution[[#This Row],[Respiratory deaths]]-weekly_deaths_location_cause_and_excess_deaths_other_institution[[#This Row],[Respiratory five year average]]</f>
        <v>-1</v>
      </c>
      <c r="S249" s="25">
        <v>0</v>
      </c>
      <c r="T249" s="52">
        <v>0</v>
      </c>
      <c r="U249" s="52">
        <v>2</v>
      </c>
      <c r="V249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0" spans="1:22" x14ac:dyDescent="0.35">
      <c r="A250" s="14" t="s">
        <v>85</v>
      </c>
      <c r="B250" s="15">
        <v>16</v>
      </c>
      <c r="C250" s="16">
        <v>43934</v>
      </c>
      <c r="D250" s="57">
        <v>5</v>
      </c>
      <c r="E250" s="2">
        <v>4</v>
      </c>
      <c r="F250" s="2">
        <f>weekly_deaths_location_cause_and_excess_deaths_other_institution[[#This Row],[All causes]]-weekly_deaths_location_cause_and_excess_deaths_other_institution[[#This Row],[All causes five year average]]</f>
        <v>1</v>
      </c>
      <c r="G250" s="2">
        <v>1</v>
      </c>
      <c r="H250" s="2">
        <v>3</v>
      </c>
      <c r="I250" s="2">
        <f>weekly_deaths_location_cause_and_excess_deaths_other_institution[[#This Row],[Cancer deaths]]-weekly_deaths_location_cause_and_excess_deaths_other_institution[[#This Row],[Cancer five year average]]</f>
        <v>-2</v>
      </c>
      <c r="J250" s="2">
        <v>1</v>
      </c>
      <c r="K250" s="2">
        <v>2</v>
      </c>
      <c r="L250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50" s="25">
        <v>0</v>
      </c>
      <c r="N250" s="25">
        <v>1</v>
      </c>
      <c r="O250" s="25">
        <f>weekly_deaths_location_cause_and_excess_deaths_other_institution[[#This Row],[Circulatory deaths]]-weekly_deaths_location_cause_and_excess_deaths_other_institution[[#This Row],[Circulatory five year average]]</f>
        <v>-1</v>
      </c>
      <c r="P250" s="25">
        <v>1</v>
      </c>
      <c r="Q250" s="25">
        <v>1</v>
      </c>
      <c r="R250" s="25">
        <f>weekly_deaths_location_cause_and_excess_deaths_other_institution[[#This Row],[Respiratory deaths]]-weekly_deaths_location_cause_and_excess_deaths_other_institution[[#This Row],[Respiratory five year average]]</f>
        <v>0</v>
      </c>
      <c r="S250" s="25">
        <v>0</v>
      </c>
      <c r="T250" s="52">
        <v>2</v>
      </c>
      <c r="U250" s="52">
        <v>1</v>
      </c>
      <c r="V250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51" spans="1:22" x14ac:dyDescent="0.35">
      <c r="A251" s="14" t="s">
        <v>85</v>
      </c>
      <c r="B251" s="15">
        <v>17</v>
      </c>
      <c r="C251" s="16">
        <v>43941</v>
      </c>
      <c r="D251" s="57">
        <v>3</v>
      </c>
      <c r="E251" s="2">
        <v>4</v>
      </c>
      <c r="F251" s="2">
        <f>weekly_deaths_location_cause_and_excess_deaths_other_institution[[#This Row],[All causes]]-weekly_deaths_location_cause_and_excess_deaths_other_institution[[#This Row],[All causes five year average]]</f>
        <v>-1</v>
      </c>
      <c r="G251" s="2">
        <v>0</v>
      </c>
      <c r="H251" s="2">
        <v>2</v>
      </c>
      <c r="I251" s="2">
        <f>weekly_deaths_location_cause_and_excess_deaths_other_institution[[#This Row],[Cancer deaths]]-weekly_deaths_location_cause_and_excess_deaths_other_institution[[#This Row],[Cancer five year average]]</f>
        <v>-2</v>
      </c>
      <c r="J251" s="2">
        <v>2</v>
      </c>
      <c r="K251" s="2">
        <v>1</v>
      </c>
      <c r="L251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51" s="25">
        <v>0</v>
      </c>
      <c r="N251" s="25">
        <v>1</v>
      </c>
      <c r="O251" s="25">
        <f>weekly_deaths_location_cause_and_excess_deaths_other_institution[[#This Row],[Circulatory deaths]]-weekly_deaths_location_cause_and_excess_deaths_other_institution[[#This Row],[Circulatory five year average]]</f>
        <v>-1</v>
      </c>
      <c r="P251" s="25">
        <v>1</v>
      </c>
      <c r="Q251" s="25">
        <v>0</v>
      </c>
      <c r="R251" s="25">
        <f>weekly_deaths_location_cause_and_excess_deaths_other_institution[[#This Row],[Respiratory deaths]]-weekly_deaths_location_cause_and_excess_deaths_other_institution[[#This Row],[Respiratory five year average]]</f>
        <v>1</v>
      </c>
      <c r="S251" s="25">
        <v>0</v>
      </c>
      <c r="T251" s="52">
        <v>0</v>
      </c>
      <c r="U251" s="52">
        <v>1</v>
      </c>
      <c r="V251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52" spans="1:22" x14ac:dyDescent="0.35">
      <c r="A252" s="14" t="s">
        <v>85</v>
      </c>
      <c r="B252" s="15">
        <v>18</v>
      </c>
      <c r="C252" s="16">
        <v>43948</v>
      </c>
      <c r="D252" s="57">
        <v>6</v>
      </c>
      <c r="E252" s="2">
        <v>4</v>
      </c>
      <c r="F252" s="2">
        <f>weekly_deaths_location_cause_and_excess_deaths_other_institution[[#This Row],[All causes]]-weekly_deaths_location_cause_and_excess_deaths_other_institution[[#This Row],[All causes five year average]]</f>
        <v>2</v>
      </c>
      <c r="G252" s="2">
        <v>0</v>
      </c>
      <c r="H252" s="2">
        <v>2</v>
      </c>
      <c r="I252" s="2">
        <f>weekly_deaths_location_cause_and_excess_deaths_other_institution[[#This Row],[Cancer deaths]]-weekly_deaths_location_cause_and_excess_deaths_other_institution[[#This Row],[Cancer five year average]]</f>
        <v>-2</v>
      </c>
      <c r="J252" s="2">
        <v>2</v>
      </c>
      <c r="K252" s="2">
        <v>1</v>
      </c>
      <c r="L252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52" s="25">
        <v>2</v>
      </c>
      <c r="N252" s="25">
        <v>1</v>
      </c>
      <c r="O252" s="25">
        <f>weekly_deaths_location_cause_and_excess_deaths_other_institution[[#This Row],[Circulatory deaths]]-weekly_deaths_location_cause_and_excess_deaths_other_institution[[#This Row],[Circulatory five year average]]</f>
        <v>1</v>
      </c>
      <c r="P252" s="25">
        <v>0</v>
      </c>
      <c r="Q252" s="25">
        <v>1</v>
      </c>
      <c r="R252" s="25">
        <f>weekly_deaths_location_cause_and_excess_deaths_other_institution[[#This Row],[Respiratory deaths]]-weekly_deaths_location_cause_and_excess_deaths_other_institution[[#This Row],[Respiratory five year average]]</f>
        <v>-1</v>
      </c>
      <c r="S252" s="25">
        <v>0</v>
      </c>
      <c r="T252" s="52">
        <v>2</v>
      </c>
      <c r="U252" s="52">
        <v>1</v>
      </c>
      <c r="V252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53" spans="1:22" x14ac:dyDescent="0.35">
      <c r="A253" s="14" t="s">
        <v>85</v>
      </c>
      <c r="B253" s="15">
        <v>19</v>
      </c>
      <c r="C253" s="16">
        <v>43955</v>
      </c>
      <c r="D253" s="57">
        <v>1</v>
      </c>
      <c r="E253" s="2">
        <v>5</v>
      </c>
      <c r="F253" s="2">
        <f>weekly_deaths_location_cause_and_excess_deaths_other_institution[[#This Row],[All causes]]-weekly_deaths_location_cause_and_excess_deaths_other_institution[[#This Row],[All causes five year average]]</f>
        <v>-4</v>
      </c>
      <c r="G253" s="2">
        <v>0</v>
      </c>
      <c r="H253" s="2">
        <v>3</v>
      </c>
      <c r="I253" s="2">
        <f>weekly_deaths_location_cause_and_excess_deaths_other_institution[[#This Row],[Cancer deaths]]-weekly_deaths_location_cause_and_excess_deaths_other_institution[[#This Row],[Cancer five year average]]</f>
        <v>-3</v>
      </c>
      <c r="J253" s="2">
        <v>0</v>
      </c>
      <c r="K253" s="2">
        <v>2</v>
      </c>
      <c r="L253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53" s="25">
        <v>0</v>
      </c>
      <c r="N253" s="25">
        <v>1</v>
      </c>
      <c r="O253" s="25">
        <f>weekly_deaths_location_cause_and_excess_deaths_other_institution[[#This Row],[Circulatory deaths]]-weekly_deaths_location_cause_and_excess_deaths_other_institution[[#This Row],[Circulatory five year average]]</f>
        <v>-1</v>
      </c>
      <c r="P253" s="25">
        <v>0</v>
      </c>
      <c r="Q253" s="25">
        <v>0</v>
      </c>
      <c r="R253" s="25">
        <f>weekly_deaths_location_cause_and_excess_deaths_other_institution[[#This Row],[Respiratory deaths]]-weekly_deaths_location_cause_and_excess_deaths_other_institution[[#This Row],[Respiratory five year average]]</f>
        <v>0</v>
      </c>
      <c r="S253" s="25">
        <v>1</v>
      </c>
      <c r="T253" s="52">
        <v>0</v>
      </c>
      <c r="U253" s="52">
        <v>2</v>
      </c>
      <c r="V253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4" spans="1:22" x14ac:dyDescent="0.35">
      <c r="A254" s="14" t="s">
        <v>85</v>
      </c>
      <c r="B254" s="15">
        <v>20</v>
      </c>
      <c r="C254" s="16">
        <v>43962</v>
      </c>
      <c r="D254" s="57">
        <v>4</v>
      </c>
      <c r="E254" s="2">
        <v>4</v>
      </c>
      <c r="F254" s="2">
        <f>weekly_deaths_location_cause_and_excess_deaths_other_institution[[#This Row],[All causes]]-weekly_deaths_location_cause_and_excess_deaths_other_institution[[#This Row],[All causes five year average]]</f>
        <v>0</v>
      </c>
      <c r="G254" s="2">
        <v>0</v>
      </c>
      <c r="H254" s="2">
        <v>2</v>
      </c>
      <c r="I254" s="2">
        <f>weekly_deaths_location_cause_and_excess_deaths_other_institution[[#This Row],[Cancer deaths]]-weekly_deaths_location_cause_and_excess_deaths_other_institution[[#This Row],[Cancer five year average]]</f>
        <v>-2</v>
      </c>
      <c r="J254" s="2">
        <v>2</v>
      </c>
      <c r="K254" s="2">
        <v>2</v>
      </c>
      <c r="L254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54" s="25">
        <v>0</v>
      </c>
      <c r="N254" s="25">
        <v>1</v>
      </c>
      <c r="O254" s="25">
        <f>weekly_deaths_location_cause_and_excess_deaths_other_institution[[#This Row],[Circulatory deaths]]-weekly_deaths_location_cause_and_excess_deaths_other_institution[[#This Row],[Circulatory five year average]]</f>
        <v>-1</v>
      </c>
      <c r="P254" s="25">
        <v>0</v>
      </c>
      <c r="Q254" s="25">
        <v>1</v>
      </c>
      <c r="R254" s="25">
        <f>weekly_deaths_location_cause_and_excess_deaths_other_institution[[#This Row],[Respiratory deaths]]-weekly_deaths_location_cause_and_excess_deaths_other_institution[[#This Row],[Respiratory five year average]]</f>
        <v>-1</v>
      </c>
      <c r="S254" s="25">
        <v>2</v>
      </c>
      <c r="T254" s="52">
        <v>0</v>
      </c>
      <c r="U254" s="52">
        <v>2</v>
      </c>
      <c r="V254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5" spans="1:22" x14ac:dyDescent="0.35">
      <c r="A255" s="14" t="s">
        <v>85</v>
      </c>
      <c r="B255" s="15">
        <v>21</v>
      </c>
      <c r="C255" s="16">
        <v>43969</v>
      </c>
      <c r="D255" s="57">
        <v>4</v>
      </c>
      <c r="E255" s="2">
        <v>5</v>
      </c>
      <c r="F255" s="2">
        <f>weekly_deaths_location_cause_and_excess_deaths_other_institution[[#This Row],[All causes]]-weekly_deaths_location_cause_and_excess_deaths_other_institution[[#This Row],[All causes five year average]]</f>
        <v>-1</v>
      </c>
      <c r="G255" s="2">
        <v>0</v>
      </c>
      <c r="H255" s="2">
        <v>3</v>
      </c>
      <c r="I255" s="2">
        <f>weekly_deaths_location_cause_and_excess_deaths_other_institution[[#This Row],[Cancer deaths]]-weekly_deaths_location_cause_and_excess_deaths_other_institution[[#This Row],[Cancer five year average]]</f>
        <v>-3</v>
      </c>
      <c r="J255" s="2">
        <v>1</v>
      </c>
      <c r="K255" s="2">
        <v>1</v>
      </c>
      <c r="L255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55" s="25">
        <v>1</v>
      </c>
      <c r="N255" s="25">
        <v>1</v>
      </c>
      <c r="O255" s="25">
        <f>weekly_deaths_location_cause_and_excess_deaths_other_institution[[#This Row],[Circulatory deaths]]-weekly_deaths_location_cause_and_excess_deaths_other_institution[[#This Row],[Circulatory five year average]]</f>
        <v>0</v>
      </c>
      <c r="P255" s="25">
        <v>0</v>
      </c>
      <c r="Q255" s="25">
        <v>1</v>
      </c>
      <c r="R255" s="25">
        <f>weekly_deaths_location_cause_and_excess_deaths_other_institution[[#This Row],[Respiratory deaths]]-weekly_deaths_location_cause_and_excess_deaths_other_institution[[#This Row],[Respiratory five year average]]</f>
        <v>-1</v>
      </c>
      <c r="S255" s="25">
        <v>2</v>
      </c>
      <c r="T255" s="52">
        <v>0</v>
      </c>
      <c r="U255" s="52">
        <v>2</v>
      </c>
      <c r="V255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6" spans="1:22" x14ac:dyDescent="0.35">
      <c r="A256" s="14" t="s">
        <v>85</v>
      </c>
      <c r="B256" s="15">
        <v>22</v>
      </c>
      <c r="C256" s="16">
        <v>43976</v>
      </c>
      <c r="D256" s="57">
        <v>0</v>
      </c>
      <c r="E256" s="2">
        <v>5</v>
      </c>
      <c r="F256" s="2">
        <f>weekly_deaths_location_cause_and_excess_deaths_other_institution[[#This Row],[All causes]]-weekly_deaths_location_cause_and_excess_deaths_other_institution[[#This Row],[All causes five year average]]</f>
        <v>-5</v>
      </c>
      <c r="G256" s="2">
        <v>0</v>
      </c>
      <c r="H256" s="2">
        <v>3</v>
      </c>
      <c r="I256" s="2">
        <f>weekly_deaths_location_cause_and_excess_deaths_other_institution[[#This Row],[Cancer deaths]]-weekly_deaths_location_cause_and_excess_deaths_other_institution[[#This Row],[Cancer five year average]]</f>
        <v>-3</v>
      </c>
      <c r="J256" s="2">
        <v>0</v>
      </c>
      <c r="K256" s="2">
        <v>1</v>
      </c>
      <c r="L256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56" s="25">
        <v>0</v>
      </c>
      <c r="N256" s="25">
        <v>1</v>
      </c>
      <c r="O256" s="25">
        <f>weekly_deaths_location_cause_and_excess_deaths_other_institution[[#This Row],[Circulatory deaths]]-weekly_deaths_location_cause_and_excess_deaths_other_institution[[#This Row],[Circulatory five year average]]</f>
        <v>-1</v>
      </c>
      <c r="P256" s="25">
        <v>0</v>
      </c>
      <c r="Q256" s="25">
        <v>1</v>
      </c>
      <c r="R256" s="25">
        <f>weekly_deaths_location_cause_and_excess_deaths_other_institution[[#This Row],[Respiratory deaths]]-weekly_deaths_location_cause_and_excess_deaths_other_institution[[#This Row],[Respiratory five year average]]</f>
        <v>-1</v>
      </c>
      <c r="S256" s="25">
        <v>0</v>
      </c>
      <c r="T256" s="52">
        <v>0</v>
      </c>
      <c r="U256" s="52">
        <v>2</v>
      </c>
      <c r="V256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7" spans="1:22" x14ac:dyDescent="0.35">
      <c r="A257" s="14" t="s">
        <v>85</v>
      </c>
      <c r="B257" s="15">
        <v>23</v>
      </c>
      <c r="C257" s="16">
        <v>43983</v>
      </c>
      <c r="D257" s="57">
        <v>1</v>
      </c>
      <c r="E257" s="2">
        <v>5</v>
      </c>
      <c r="F257" s="2">
        <f>weekly_deaths_location_cause_and_excess_deaths_other_institution[[#This Row],[All causes]]-weekly_deaths_location_cause_and_excess_deaths_other_institution[[#This Row],[All causes five year average]]</f>
        <v>-4</v>
      </c>
      <c r="G257" s="2">
        <v>0</v>
      </c>
      <c r="H257" s="2">
        <v>2</v>
      </c>
      <c r="I257" s="2">
        <f>weekly_deaths_location_cause_and_excess_deaths_other_institution[[#This Row],[Cancer deaths]]-weekly_deaths_location_cause_and_excess_deaths_other_institution[[#This Row],[Cancer five year average]]</f>
        <v>-2</v>
      </c>
      <c r="J257" s="2">
        <v>0</v>
      </c>
      <c r="K257" s="2">
        <v>3</v>
      </c>
      <c r="L257" s="2">
        <f>weekly_deaths_location_cause_and_excess_deaths_other_institution[[#This Row],[Dementia / Alzhemier''s deaths]]-weekly_deaths_location_cause_and_excess_deaths_other_institution[[#This Row],[Dementia / Alzheimer''s five year average]]</f>
        <v>-3</v>
      </c>
      <c r="M257" s="25">
        <v>0</v>
      </c>
      <c r="N257" s="25">
        <v>1</v>
      </c>
      <c r="O257" s="25">
        <f>weekly_deaths_location_cause_and_excess_deaths_other_institution[[#This Row],[Circulatory deaths]]-weekly_deaths_location_cause_and_excess_deaths_other_institution[[#This Row],[Circulatory five year average]]</f>
        <v>-1</v>
      </c>
      <c r="P257" s="25">
        <v>0</v>
      </c>
      <c r="Q257" s="25">
        <v>1</v>
      </c>
      <c r="R257" s="25">
        <f>weekly_deaths_location_cause_and_excess_deaths_other_institution[[#This Row],[Respiratory deaths]]-weekly_deaths_location_cause_and_excess_deaths_other_institution[[#This Row],[Respiratory five year average]]</f>
        <v>-1</v>
      </c>
      <c r="S257" s="25">
        <v>1</v>
      </c>
      <c r="T257" s="52">
        <v>0</v>
      </c>
      <c r="U257" s="52">
        <v>2</v>
      </c>
      <c r="V257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58" spans="1:22" x14ac:dyDescent="0.35">
      <c r="A258" s="14" t="s">
        <v>85</v>
      </c>
      <c r="B258" s="15">
        <v>24</v>
      </c>
      <c r="C258" s="16">
        <v>43990</v>
      </c>
      <c r="D258" s="57">
        <v>2</v>
      </c>
      <c r="E258" s="2">
        <v>4</v>
      </c>
      <c r="F258" s="2">
        <f>weekly_deaths_location_cause_and_excess_deaths_other_institution[[#This Row],[All causes]]-weekly_deaths_location_cause_and_excess_deaths_other_institution[[#This Row],[All causes five year average]]</f>
        <v>-2</v>
      </c>
      <c r="G258" s="2">
        <v>1</v>
      </c>
      <c r="H258" s="2">
        <v>2</v>
      </c>
      <c r="I258" s="2">
        <f>weekly_deaths_location_cause_and_excess_deaths_other_institution[[#This Row],[Cancer deaths]]-weekly_deaths_location_cause_and_excess_deaths_other_institution[[#This Row],[Cancer five year average]]</f>
        <v>-1</v>
      </c>
      <c r="J258" s="2">
        <v>1</v>
      </c>
      <c r="K258" s="2">
        <v>1</v>
      </c>
      <c r="L258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58" s="25">
        <v>0</v>
      </c>
      <c r="N258" s="25">
        <v>1</v>
      </c>
      <c r="O258" s="25">
        <f>weekly_deaths_location_cause_and_excess_deaths_other_institution[[#This Row],[Circulatory deaths]]-weekly_deaths_location_cause_and_excess_deaths_other_institution[[#This Row],[Circulatory five year average]]</f>
        <v>-1</v>
      </c>
      <c r="P258" s="25">
        <v>0</v>
      </c>
      <c r="Q258" s="25">
        <v>2</v>
      </c>
      <c r="R258" s="25">
        <f>weekly_deaths_location_cause_and_excess_deaths_other_institution[[#This Row],[Respiratory deaths]]-weekly_deaths_location_cause_and_excess_deaths_other_institution[[#This Row],[Respiratory five year average]]</f>
        <v>-2</v>
      </c>
      <c r="S258" s="25">
        <v>0</v>
      </c>
      <c r="T258" s="52">
        <v>0</v>
      </c>
      <c r="U258" s="52">
        <v>1</v>
      </c>
      <c r="V258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59" spans="1:22" x14ac:dyDescent="0.35">
      <c r="A259" s="14" t="s">
        <v>85</v>
      </c>
      <c r="B259" s="15">
        <v>25</v>
      </c>
      <c r="C259" s="16">
        <v>43997</v>
      </c>
      <c r="D259" s="57">
        <v>2</v>
      </c>
      <c r="E259" s="2">
        <v>5</v>
      </c>
      <c r="F259" s="2">
        <f>weekly_deaths_location_cause_and_excess_deaths_other_institution[[#This Row],[All causes]]-weekly_deaths_location_cause_and_excess_deaths_other_institution[[#This Row],[All causes five year average]]</f>
        <v>-3</v>
      </c>
      <c r="G259" s="2">
        <v>0</v>
      </c>
      <c r="H259" s="2">
        <v>3</v>
      </c>
      <c r="I259" s="2">
        <f>weekly_deaths_location_cause_and_excess_deaths_other_institution[[#This Row],[Cancer deaths]]-weekly_deaths_location_cause_and_excess_deaths_other_institution[[#This Row],[Cancer five year average]]</f>
        <v>-3</v>
      </c>
      <c r="J259" s="2">
        <v>0</v>
      </c>
      <c r="K259" s="2">
        <v>2</v>
      </c>
      <c r="L259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59" s="25">
        <v>2</v>
      </c>
      <c r="N259" s="25">
        <v>2</v>
      </c>
      <c r="O259" s="25">
        <f>weekly_deaths_location_cause_and_excess_deaths_other_institution[[#This Row],[Circulatory deaths]]-weekly_deaths_location_cause_and_excess_deaths_other_institution[[#This Row],[Circulatory five year average]]</f>
        <v>0</v>
      </c>
      <c r="P259" s="25">
        <v>0</v>
      </c>
      <c r="Q259" s="25">
        <v>1</v>
      </c>
      <c r="R259" s="25">
        <f>weekly_deaths_location_cause_and_excess_deaths_other_institution[[#This Row],[Respiratory deaths]]-weekly_deaths_location_cause_and_excess_deaths_other_institution[[#This Row],[Respiratory five year average]]</f>
        <v>-1</v>
      </c>
      <c r="S259" s="25">
        <v>0</v>
      </c>
      <c r="T259" s="52">
        <v>0</v>
      </c>
      <c r="U259" s="52">
        <v>2</v>
      </c>
      <c r="V259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60" spans="1:22" x14ac:dyDescent="0.35">
      <c r="A260" s="14" t="s">
        <v>85</v>
      </c>
      <c r="B260" s="15">
        <v>26</v>
      </c>
      <c r="C260" s="16">
        <v>44004</v>
      </c>
      <c r="D260" s="57">
        <v>4</v>
      </c>
      <c r="E260" s="2">
        <v>5</v>
      </c>
      <c r="F260" s="2">
        <f>weekly_deaths_location_cause_and_excess_deaths_other_institution[[#This Row],[All causes]]-weekly_deaths_location_cause_and_excess_deaths_other_institution[[#This Row],[All causes five year average]]</f>
        <v>-1</v>
      </c>
      <c r="G260" s="2">
        <v>0</v>
      </c>
      <c r="H260" s="2">
        <v>3</v>
      </c>
      <c r="I260" s="2">
        <f>weekly_deaths_location_cause_and_excess_deaths_other_institution[[#This Row],[Cancer deaths]]-weekly_deaths_location_cause_and_excess_deaths_other_institution[[#This Row],[Cancer five year average]]</f>
        <v>-3</v>
      </c>
      <c r="J260" s="2">
        <v>0</v>
      </c>
      <c r="K260" s="2">
        <v>1</v>
      </c>
      <c r="L260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0" s="25">
        <v>2</v>
      </c>
      <c r="N260" s="25">
        <v>1</v>
      </c>
      <c r="O260" s="25">
        <f>weekly_deaths_location_cause_and_excess_deaths_other_institution[[#This Row],[Circulatory deaths]]-weekly_deaths_location_cause_and_excess_deaths_other_institution[[#This Row],[Circulatory five year average]]</f>
        <v>1</v>
      </c>
      <c r="P260" s="25">
        <v>0</v>
      </c>
      <c r="Q260" s="25">
        <v>1</v>
      </c>
      <c r="R260" s="25">
        <f>weekly_deaths_location_cause_and_excess_deaths_other_institution[[#This Row],[Respiratory deaths]]-weekly_deaths_location_cause_and_excess_deaths_other_institution[[#This Row],[Respiratory five year average]]</f>
        <v>-1</v>
      </c>
      <c r="S260" s="25">
        <v>0</v>
      </c>
      <c r="T260" s="52">
        <v>2</v>
      </c>
      <c r="U260" s="52">
        <v>2</v>
      </c>
      <c r="V260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61" spans="1:22" x14ac:dyDescent="0.35">
      <c r="A261" s="14" t="s">
        <v>85</v>
      </c>
      <c r="B261" s="15">
        <v>27</v>
      </c>
      <c r="C261" s="16">
        <v>44011</v>
      </c>
      <c r="D261" s="57">
        <v>13</v>
      </c>
      <c r="E261" s="2">
        <v>4</v>
      </c>
      <c r="F261" s="2">
        <f>weekly_deaths_location_cause_and_excess_deaths_other_institution[[#This Row],[All causes]]-weekly_deaths_location_cause_and_excess_deaths_other_institution[[#This Row],[All causes five year average]]</f>
        <v>9</v>
      </c>
      <c r="G261" s="2">
        <v>3</v>
      </c>
      <c r="H261" s="2">
        <v>2</v>
      </c>
      <c r="I261" s="2">
        <f>weekly_deaths_location_cause_and_excess_deaths_other_institution[[#This Row],[Cancer deaths]]-weekly_deaths_location_cause_and_excess_deaths_other_institution[[#This Row],[Cancer five year average]]</f>
        <v>1</v>
      </c>
      <c r="J261" s="2">
        <v>1</v>
      </c>
      <c r="K261" s="2">
        <v>1</v>
      </c>
      <c r="L261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61" s="25">
        <v>3</v>
      </c>
      <c r="N261" s="25">
        <v>1</v>
      </c>
      <c r="O261" s="25">
        <f>weekly_deaths_location_cause_and_excess_deaths_other_institution[[#This Row],[Circulatory deaths]]-weekly_deaths_location_cause_and_excess_deaths_other_institution[[#This Row],[Circulatory five year average]]</f>
        <v>2</v>
      </c>
      <c r="P261" s="25">
        <v>1</v>
      </c>
      <c r="Q261" s="25">
        <v>0</v>
      </c>
      <c r="R261" s="25">
        <f>weekly_deaths_location_cause_and_excess_deaths_other_institution[[#This Row],[Respiratory deaths]]-weekly_deaths_location_cause_and_excess_deaths_other_institution[[#This Row],[Respiratory five year average]]</f>
        <v>1</v>
      </c>
      <c r="S261" s="25">
        <v>0</v>
      </c>
      <c r="T261" s="52">
        <v>5</v>
      </c>
      <c r="U261" s="52">
        <v>2</v>
      </c>
      <c r="V261" s="25">
        <f>weekly_deaths_location_cause_and_excess_deaths_other_institution[[#This Row],[Other causes]]-weekly_deaths_location_cause_and_excess_deaths_other_institution[[#This Row],[Other causes five year average]]</f>
        <v>3</v>
      </c>
    </row>
    <row r="262" spans="1:22" x14ac:dyDescent="0.35">
      <c r="A262" s="14" t="s">
        <v>85</v>
      </c>
      <c r="B262" s="15">
        <v>28</v>
      </c>
      <c r="C262" s="16">
        <v>44018</v>
      </c>
      <c r="D262" s="57">
        <v>7</v>
      </c>
      <c r="E262" s="2">
        <v>4</v>
      </c>
      <c r="F262" s="2">
        <f>weekly_deaths_location_cause_and_excess_deaths_other_institution[[#This Row],[All causes]]-weekly_deaths_location_cause_and_excess_deaths_other_institution[[#This Row],[All causes five year average]]</f>
        <v>3</v>
      </c>
      <c r="G262" s="2">
        <v>2</v>
      </c>
      <c r="H262" s="2">
        <v>2</v>
      </c>
      <c r="I262" s="2">
        <f>weekly_deaths_location_cause_and_excess_deaths_other_institution[[#This Row],[Cancer deaths]]-weekly_deaths_location_cause_and_excess_deaths_other_institution[[#This Row],[Cancer five year average]]</f>
        <v>0</v>
      </c>
      <c r="J262" s="2">
        <v>1</v>
      </c>
      <c r="K262" s="2">
        <v>2</v>
      </c>
      <c r="L262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2" s="25">
        <v>1</v>
      </c>
      <c r="N262" s="25">
        <v>2</v>
      </c>
      <c r="O262" s="25">
        <f>weekly_deaths_location_cause_and_excess_deaths_other_institution[[#This Row],[Circulatory deaths]]-weekly_deaths_location_cause_and_excess_deaths_other_institution[[#This Row],[Circulatory five year average]]</f>
        <v>-1</v>
      </c>
      <c r="P262" s="25">
        <v>0</v>
      </c>
      <c r="Q262" s="25">
        <v>1</v>
      </c>
      <c r="R262" s="25">
        <f>weekly_deaths_location_cause_and_excess_deaths_other_institution[[#This Row],[Respiratory deaths]]-weekly_deaths_location_cause_and_excess_deaths_other_institution[[#This Row],[Respiratory five year average]]</f>
        <v>-1</v>
      </c>
      <c r="S262" s="25">
        <v>0</v>
      </c>
      <c r="T262" s="52">
        <v>3</v>
      </c>
      <c r="U262" s="52">
        <v>1</v>
      </c>
      <c r="V262" s="25">
        <f>weekly_deaths_location_cause_and_excess_deaths_other_institution[[#This Row],[Other causes]]-weekly_deaths_location_cause_and_excess_deaths_other_institution[[#This Row],[Other causes five year average]]</f>
        <v>2</v>
      </c>
    </row>
    <row r="263" spans="1:22" x14ac:dyDescent="0.35">
      <c r="A263" s="14" t="s">
        <v>85</v>
      </c>
      <c r="B263" s="15">
        <v>29</v>
      </c>
      <c r="C263" s="16">
        <v>44025</v>
      </c>
      <c r="D263" s="57">
        <v>2</v>
      </c>
      <c r="E263" s="2">
        <v>3</v>
      </c>
      <c r="F263" s="2">
        <f>weekly_deaths_location_cause_and_excess_deaths_other_institution[[#This Row],[All causes]]-weekly_deaths_location_cause_and_excess_deaths_other_institution[[#This Row],[All causes five year average]]</f>
        <v>-1</v>
      </c>
      <c r="G263" s="2">
        <v>0</v>
      </c>
      <c r="H263" s="2">
        <v>2</v>
      </c>
      <c r="I263" s="2">
        <f>weekly_deaths_location_cause_and_excess_deaths_other_institution[[#This Row],[Cancer deaths]]-weekly_deaths_location_cause_and_excess_deaths_other_institution[[#This Row],[Cancer five year average]]</f>
        <v>-2</v>
      </c>
      <c r="J263" s="2">
        <v>0</v>
      </c>
      <c r="K263" s="2">
        <v>2</v>
      </c>
      <c r="L263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63" s="25">
        <v>2</v>
      </c>
      <c r="N263" s="25">
        <v>2</v>
      </c>
      <c r="O263" s="25">
        <f>weekly_deaths_location_cause_and_excess_deaths_other_institution[[#This Row],[Circulatory deaths]]-weekly_deaths_location_cause_and_excess_deaths_other_institution[[#This Row],[Circulatory five year average]]</f>
        <v>0</v>
      </c>
      <c r="P263" s="25">
        <v>0</v>
      </c>
      <c r="Q263" s="25">
        <v>1</v>
      </c>
      <c r="R263" s="25">
        <f>weekly_deaths_location_cause_and_excess_deaths_other_institution[[#This Row],[Respiratory deaths]]-weekly_deaths_location_cause_and_excess_deaths_other_institution[[#This Row],[Respiratory five year average]]</f>
        <v>-1</v>
      </c>
      <c r="S263" s="25">
        <v>0</v>
      </c>
      <c r="T263" s="52">
        <v>0</v>
      </c>
      <c r="U263" s="52">
        <v>1</v>
      </c>
      <c r="V263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64" spans="1:22" x14ac:dyDescent="0.35">
      <c r="A264" s="14" t="s">
        <v>85</v>
      </c>
      <c r="B264" s="15">
        <v>30</v>
      </c>
      <c r="C264" s="16">
        <v>44032</v>
      </c>
      <c r="D264" s="57">
        <v>8</v>
      </c>
      <c r="E264" s="2">
        <v>3</v>
      </c>
      <c r="F264" s="2">
        <f>weekly_deaths_location_cause_and_excess_deaths_other_institution[[#This Row],[All causes]]-weekly_deaths_location_cause_and_excess_deaths_other_institution[[#This Row],[All causes five year average]]</f>
        <v>5</v>
      </c>
      <c r="G264" s="2">
        <v>3</v>
      </c>
      <c r="H264" s="2">
        <v>1</v>
      </c>
      <c r="I264" s="2">
        <f>weekly_deaths_location_cause_and_excess_deaths_other_institution[[#This Row],[Cancer deaths]]-weekly_deaths_location_cause_and_excess_deaths_other_institution[[#This Row],[Cancer five year average]]</f>
        <v>2</v>
      </c>
      <c r="J264" s="2">
        <v>0</v>
      </c>
      <c r="K264" s="2">
        <v>1</v>
      </c>
      <c r="L264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4" s="25">
        <v>3</v>
      </c>
      <c r="N264" s="25">
        <v>3</v>
      </c>
      <c r="O264" s="25">
        <f>weekly_deaths_location_cause_and_excess_deaths_other_institution[[#This Row],[Circulatory deaths]]-weekly_deaths_location_cause_and_excess_deaths_other_institution[[#This Row],[Circulatory five year average]]</f>
        <v>0</v>
      </c>
      <c r="P264" s="25">
        <v>0</v>
      </c>
      <c r="Q264" s="25">
        <v>1</v>
      </c>
      <c r="R264" s="25">
        <f>weekly_deaths_location_cause_and_excess_deaths_other_institution[[#This Row],[Respiratory deaths]]-weekly_deaths_location_cause_and_excess_deaths_other_institution[[#This Row],[Respiratory five year average]]</f>
        <v>-1</v>
      </c>
      <c r="S264" s="25">
        <v>0</v>
      </c>
      <c r="T264" s="52">
        <v>2</v>
      </c>
      <c r="U264" s="52">
        <v>1</v>
      </c>
      <c r="V264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65" spans="1:22" x14ac:dyDescent="0.35">
      <c r="A265" s="14" t="s">
        <v>85</v>
      </c>
      <c r="B265" s="15">
        <v>31</v>
      </c>
      <c r="C265" s="16">
        <v>44039</v>
      </c>
      <c r="D265" s="57">
        <v>4</v>
      </c>
      <c r="E265" s="2">
        <v>5</v>
      </c>
      <c r="F265" s="2">
        <f>weekly_deaths_location_cause_and_excess_deaths_other_institution[[#This Row],[All causes]]-weekly_deaths_location_cause_and_excess_deaths_other_institution[[#This Row],[All causes five year average]]</f>
        <v>-1</v>
      </c>
      <c r="G265" s="2">
        <v>1</v>
      </c>
      <c r="H265" s="2">
        <v>3</v>
      </c>
      <c r="I265" s="2">
        <f>weekly_deaths_location_cause_and_excess_deaths_other_institution[[#This Row],[Cancer deaths]]-weekly_deaths_location_cause_and_excess_deaths_other_institution[[#This Row],[Cancer five year average]]</f>
        <v>-2</v>
      </c>
      <c r="J265" s="2">
        <v>0</v>
      </c>
      <c r="K265" s="2">
        <v>1</v>
      </c>
      <c r="L265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5" s="25">
        <v>0</v>
      </c>
      <c r="N265" s="25">
        <v>1</v>
      </c>
      <c r="O265" s="25">
        <f>weekly_deaths_location_cause_and_excess_deaths_other_institution[[#This Row],[Circulatory deaths]]-weekly_deaths_location_cause_and_excess_deaths_other_institution[[#This Row],[Circulatory five year average]]</f>
        <v>-1</v>
      </c>
      <c r="P265" s="25">
        <v>1</v>
      </c>
      <c r="Q265" s="25">
        <v>1</v>
      </c>
      <c r="R265" s="25">
        <f>weekly_deaths_location_cause_and_excess_deaths_other_institution[[#This Row],[Respiratory deaths]]-weekly_deaths_location_cause_and_excess_deaths_other_institution[[#This Row],[Respiratory five year average]]</f>
        <v>0</v>
      </c>
      <c r="S265" s="25">
        <v>0</v>
      </c>
      <c r="T265" s="52">
        <v>2</v>
      </c>
      <c r="U265" s="52">
        <v>1</v>
      </c>
      <c r="V265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66" spans="1:22" x14ac:dyDescent="0.35">
      <c r="A266" s="14" t="s">
        <v>85</v>
      </c>
      <c r="B266" s="15">
        <v>32</v>
      </c>
      <c r="C266" s="16">
        <v>44046</v>
      </c>
      <c r="D266" s="57">
        <v>8</v>
      </c>
      <c r="E266" s="2">
        <v>4</v>
      </c>
      <c r="F266" s="2">
        <f>weekly_deaths_location_cause_and_excess_deaths_other_institution[[#This Row],[All causes]]-weekly_deaths_location_cause_and_excess_deaths_other_institution[[#This Row],[All causes five year average]]</f>
        <v>4</v>
      </c>
      <c r="G266" s="2">
        <v>4</v>
      </c>
      <c r="H266" s="2">
        <v>3</v>
      </c>
      <c r="I266" s="2">
        <f>weekly_deaths_location_cause_and_excess_deaths_other_institution[[#This Row],[Cancer deaths]]-weekly_deaths_location_cause_and_excess_deaths_other_institution[[#This Row],[Cancer five year average]]</f>
        <v>1</v>
      </c>
      <c r="J266" s="2">
        <v>1</v>
      </c>
      <c r="K266" s="2">
        <v>1</v>
      </c>
      <c r="L266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66" s="25">
        <v>1</v>
      </c>
      <c r="N266" s="25">
        <v>1</v>
      </c>
      <c r="O266" s="25">
        <f>weekly_deaths_location_cause_and_excess_deaths_other_institution[[#This Row],[Circulatory deaths]]-weekly_deaths_location_cause_and_excess_deaths_other_institution[[#This Row],[Circulatory five year average]]</f>
        <v>0</v>
      </c>
      <c r="P266" s="25">
        <v>0</v>
      </c>
      <c r="Q266" s="25">
        <v>0</v>
      </c>
      <c r="R266" s="25">
        <f>weekly_deaths_location_cause_and_excess_deaths_other_institution[[#This Row],[Respiratory deaths]]-weekly_deaths_location_cause_and_excess_deaths_other_institution[[#This Row],[Respiratory five year average]]</f>
        <v>0</v>
      </c>
      <c r="S266" s="25">
        <v>0</v>
      </c>
      <c r="T266" s="52">
        <v>2</v>
      </c>
      <c r="U266" s="52">
        <v>2</v>
      </c>
      <c r="V266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67" spans="1:22" x14ac:dyDescent="0.35">
      <c r="A267" s="14" t="s">
        <v>85</v>
      </c>
      <c r="B267" s="15">
        <v>33</v>
      </c>
      <c r="C267" s="16">
        <v>44053</v>
      </c>
      <c r="D267" s="57">
        <v>2</v>
      </c>
      <c r="E267" s="2">
        <v>6</v>
      </c>
      <c r="F267" s="2">
        <f>weekly_deaths_location_cause_and_excess_deaths_other_institution[[#This Row],[All causes]]-weekly_deaths_location_cause_and_excess_deaths_other_institution[[#This Row],[All causes five year average]]</f>
        <v>-4</v>
      </c>
      <c r="G267" s="2">
        <v>1</v>
      </c>
      <c r="H267" s="2">
        <v>4</v>
      </c>
      <c r="I267" s="2">
        <f>weekly_deaths_location_cause_and_excess_deaths_other_institution[[#This Row],[Cancer deaths]]-weekly_deaths_location_cause_and_excess_deaths_other_institution[[#This Row],[Cancer five year average]]</f>
        <v>-3</v>
      </c>
      <c r="J267" s="2">
        <v>1</v>
      </c>
      <c r="K267" s="2">
        <v>2</v>
      </c>
      <c r="L267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7" s="25">
        <v>0</v>
      </c>
      <c r="N267" s="25">
        <v>2</v>
      </c>
      <c r="O267" s="25">
        <f>weekly_deaths_location_cause_and_excess_deaths_other_institution[[#This Row],[Circulatory deaths]]-weekly_deaths_location_cause_and_excess_deaths_other_institution[[#This Row],[Circulatory five year average]]</f>
        <v>-2</v>
      </c>
      <c r="P267" s="25">
        <v>0</v>
      </c>
      <c r="Q267" s="25">
        <v>1</v>
      </c>
      <c r="R267" s="25">
        <f>weekly_deaths_location_cause_and_excess_deaths_other_institution[[#This Row],[Respiratory deaths]]-weekly_deaths_location_cause_and_excess_deaths_other_institution[[#This Row],[Respiratory five year average]]</f>
        <v>-1</v>
      </c>
      <c r="S267" s="25">
        <v>0</v>
      </c>
      <c r="T267" s="52">
        <v>0</v>
      </c>
      <c r="U267" s="52">
        <v>1</v>
      </c>
      <c r="V267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68" spans="1:22" x14ac:dyDescent="0.35">
      <c r="A268" s="14" t="s">
        <v>85</v>
      </c>
      <c r="B268" s="15">
        <v>34</v>
      </c>
      <c r="C268" s="16">
        <v>44060</v>
      </c>
      <c r="D268" s="57">
        <v>6</v>
      </c>
      <c r="E268" s="2">
        <v>5</v>
      </c>
      <c r="F268" s="2">
        <f>weekly_deaths_location_cause_and_excess_deaths_other_institution[[#This Row],[All causes]]-weekly_deaths_location_cause_and_excess_deaths_other_institution[[#This Row],[All causes five year average]]</f>
        <v>1</v>
      </c>
      <c r="G268" s="2">
        <v>2</v>
      </c>
      <c r="H268" s="2">
        <v>3</v>
      </c>
      <c r="I268" s="2">
        <f>weekly_deaths_location_cause_and_excess_deaths_other_institution[[#This Row],[Cancer deaths]]-weekly_deaths_location_cause_and_excess_deaths_other_institution[[#This Row],[Cancer five year average]]</f>
        <v>-1</v>
      </c>
      <c r="J268" s="2">
        <v>1</v>
      </c>
      <c r="K268" s="2">
        <v>2</v>
      </c>
      <c r="L268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8" s="25">
        <v>0</v>
      </c>
      <c r="N268" s="25">
        <v>1</v>
      </c>
      <c r="O268" s="25">
        <f>weekly_deaths_location_cause_and_excess_deaths_other_institution[[#This Row],[Circulatory deaths]]-weekly_deaths_location_cause_and_excess_deaths_other_institution[[#This Row],[Circulatory five year average]]</f>
        <v>-1</v>
      </c>
      <c r="P268" s="25">
        <v>2</v>
      </c>
      <c r="Q268" s="25">
        <v>1</v>
      </c>
      <c r="R268" s="25">
        <f>weekly_deaths_location_cause_and_excess_deaths_other_institution[[#This Row],[Respiratory deaths]]-weekly_deaths_location_cause_and_excess_deaths_other_institution[[#This Row],[Respiratory five year average]]</f>
        <v>1</v>
      </c>
      <c r="S268" s="25">
        <v>0</v>
      </c>
      <c r="T268" s="52">
        <v>1</v>
      </c>
      <c r="U268" s="52">
        <v>2</v>
      </c>
      <c r="V268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69" spans="1:22" x14ac:dyDescent="0.35">
      <c r="A269" s="14" t="s">
        <v>85</v>
      </c>
      <c r="B269" s="15">
        <v>35</v>
      </c>
      <c r="C269" s="16">
        <v>44067</v>
      </c>
      <c r="D269" s="57">
        <v>5</v>
      </c>
      <c r="E269" s="2">
        <v>5</v>
      </c>
      <c r="F269" s="2">
        <f>weekly_deaths_location_cause_and_excess_deaths_other_institution[[#This Row],[All causes]]-weekly_deaths_location_cause_and_excess_deaths_other_institution[[#This Row],[All causes five year average]]</f>
        <v>0</v>
      </c>
      <c r="G269" s="2">
        <v>1</v>
      </c>
      <c r="H269" s="2">
        <v>3</v>
      </c>
      <c r="I269" s="2">
        <f>weekly_deaths_location_cause_and_excess_deaths_other_institution[[#This Row],[Cancer deaths]]-weekly_deaths_location_cause_and_excess_deaths_other_institution[[#This Row],[Cancer five year average]]</f>
        <v>-2</v>
      </c>
      <c r="J269" s="2">
        <v>0</v>
      </c>
      <c r="K269" s="2">
        <v>1</v>
      </c>
      <c r="L269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69" s="25">
        <v>1</v>
      </c>
      <c r="N269" s="25">
        <v>1</v>
      </c>
      <c r="O269" s="25">
        <f>weekly_deaths_location_cause_and_excess_deaths_other_institution[[#This Row],[Circulatory deaths]]-weekly_deaths_location_cause_and_excess_deaths_other_institution[[#This Row],[Circulatory five year average]]</f>
        <v>0</v>
      </c>
      <c r="P269" s="25">
        <v>0</v>
      </c>
      <c r="Q269" s="25">
        <v>0</v>
      </c>
      <c r="R269" s="25">
        <f>weekly_deaths_location_cause_and_excess_deaths_other_institution[[#This Row],[Respiratory deaths]]-weekly_deaths_location_cause_and_excess_deaths_other_institution[[#This Row],[Respiratory five year average]]</f>
        <v>0</v>
      </c>
      <c r="S269" s="25">
        <v>0</v>
      </c>
      <c r="T269" s="52">
        <v>3</v>
      </c>
      <c r="U269" s="52">
        <v>3</v>
      </c>
      <c r="V269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70" spans="1:22" x14ac:dyDescent="0.35">
      <c r="A270" s="14" t="s">
        <v>85</v>
      </c>
      <c r="B270" s="15">
        <v>36</v>
      </c>
      <c r="C270" s="16">
        <v>44074</v>
      </c>
      <c r="D270" s="57">
        <v>8</v>
      </c>
      <c r="E270" s="2">
        <v>5</v>
      </c>
      <c r="F270" s="2">
        <f>weekly_deaths_location_cause_and_excess_deaths_other_institution[[#This Row],[All causes]]-weekly_deaths_location_cause_and_excess_deaths_other_institution[[#This Row],[All causes five year average]]</f>
        <v>3</v>
      </c>
      <c r="G270" s="2">
        <v>4</v>
      </c>
      <c r="H270" s="2">
        <v>3</v>
      </c>
      <c r="I270" s="2">
        <f>weekly_deaths_location_cause_and_excess_deaths_other_institution[[#This Row],[Cancer deaths]]-weekly_deaths_location_cause_and_excess_deaths_other_institution[[#This Row],[Cancer five year average]]</f>
        <v>1</v>
      </c>
      <c r="J270" s="2">
        <v>0</v>
      </c>
      <c r="K270" s="2">
        <v>2</v>
      </c>
      <c r="L270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70" s="25">
        <v>4</v>
      </c>
      <c r="N270" s="25">
        <v>2</v>
      </c>
      <c r="O270" s="25">
        <f>weekly_deaths_location_cause_and_excess_deaths_other_institution[[#This Row],[Circulatory deaths]]-weekly_deaths_location_cause_and_excess_deaths_other_institution[[#This Row],[Circulatory five year average]]</f>
        <v>2</v>
      </c>
      <c r="P270" s="25">
        <v>0</v>
      </c>
      <c r="Q270" s="25">
        <v>1</v>
      </c>
      <c r="R270" s="25">
        <f>weekly_deaths_location_cause_and_excess_deaths_other_institution[[#This Row],[Respiratory deaths]]-weekly_deaths_location_cause_and_excess_deaths_other_institution[[#This Row],[Respiratory five year average]]</f>
        <v>-1</v>
      </c>
      <c r="S270" s="25">
        <v>0</v>
      </c>
      <c r="T270" s="52">
        <v>0</v>
      </c>
      <c r="U270" s="52">
        <v>0</v>
      </c>
      <c r="V270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71" spans="1:22" x14ac:dyDescent="0.35">
      <c r="A271" s="14" t="s">
        <v>85</v>
      </c>
      <c r="B271" s="15">
        <v>37</v>
      </c>
      <c r="C271" s="16">
        <v>44081</v>
      </c>
      <c r="D271" s="57">
        <v>3</v>
      </c>
      <c r="E271" s="2">
        <v>5</v>
      </c>
      <c r="F271" s="2">
        <f>weekly_deaths_location_cause_and_excess_deaths_other_institution[[#This Row],[All causes]]-weekly_deaths_location_cause_and_excess_deaths_other_institution[[#This Row],[All causes five year average]]</f>
        <v>-2</v>
      </c>
      <c r="G271" s="2">
        <v>1</v>
      </c>
      <c r="H271" s="2">
        <v>3</v>
      </c>
      <c r="I271" s="2">
        <f>weekly_deaths_location_cause_and_excess_deaths_other_institution[[#This Row],[Cancer deaths]]-weekly_deaths_location_cause_and_excess_deaths_other_institution[[#This Row],[Cancer five year average]]</f>
        <v>-2</v>
      </c>
      <c r="J271" s="2">
        <v>0</v>
      </c>
      <c r="K271" s="2">
        <v>1</v>
      </c>
      <c r="L271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71" s="25">
        <v>0</v>
      </c>
      <c r="N271" s="25">
        <v>2</v>
      </c>
      <c r="O271" s="25">
        <f>weekly_deaths_location_cause_and_excess_deaths_other_institution[[#This Row],[Circulatory deaths]]-weekly_deaths_location_cause_and_excess_deaths_other_institution[[#This Row],[Circulatory five year average]]</f>
        <v>-2</v>
      </c>
      <c r="P271" s="25">
        <v>1</v>
      </c>
      <c r="Q271" s="25">
        <v>2</v>
      </c>
      <c r="R271" s="25">
        <f>weekly_deaths_location_cause_and_excess_deaths_other_institution[[#This Row],[Respiratory deaths]]-weekly_deaths_location_cause_and_excess_deaths_other_institution[[#This Row],[Respiratory five year average]]</f>
        <v>-1</v>
      </c>
      <c r="S271" s="25">
        <v>0</v>
      </c>
      <c r="T271" s="52">
        <v>1</v>
      </c>
      <c r="U271" s="52">
        <v>2</v>
      </c>
      <c r="V271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72" spans="1:22" x14ac:dyDescent="0.35">
      <c r="A272" s="14" t="s">
        <v>85</v>
      </c>
      <c r="B272" s="15">
        <v>38</v>
      </c>
      <c r="C272" s="16">
        <v>44088</v>
      </c>
      <c r="D272" s="57">
        <v>8</v>
      </c>
      <c r="E272" s="2">
        <v>4</v>
      </c>
      <c r="F272" s="2">
        <f>weekly_deaths_location_cause_and_excess_deaths_other_institution[[#This Row],[All causes]]-weekly_deaths_location_cause_and_excess_deaths_other_institution[[#This Row],[All causes five year average]]</f>
        <v>4</v>
      </c>
      <c r="G272" s="2">
        <v>3</v>
      </c>
      <c r="H272" s="2">
        <v>2</v>
      </c>
      <c r="I272" s="2">
        <f>weekly_deaths_location_cause_and_excess_deaths_other_institution[[#This Row],[Cancer deaths]]-weekly_deaths_location_cause_and_excess_deaths_other_institution[[#This Row],[Cancer five year average]]</f>
        <v>1</v>
      </c>
      <c r="J272" s="2">
        <v>1</v>
      </c>
      <c r="K272" s="2">
        <v>1</v>
      </c>
      <c r="L272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72" s="25">
        <v>1</v>
      </c>
      <c r="N272" s="25">
        <v>2</v>
      </c>
      <c r="O272" s="25">
        <f>weekly_deaths_location_cause_and_excess_deaths_other_institution[[#This Row],[Circulatory deaths]]-weekly_deaths_location_cause_and_excess_deaths_other_institution[[#This Row],[Circulatory five year average]]</f>
        <v>-1</v>
      </c>
      <c r="P272" s="25">
        <v>1</v>
      </c>
      <c r="Q272" s="25">
        <v>1</v>
      </c>
      <c r="R272" s="25">
        <f>weekly_deaths_location_cause_and_excess_deaths_other_institution[[#This Row],[Respiratory deaths]]-weekly_deaths_location_cause_and_excess_deaths_other_institution[[#This Row],[Respiratory five year average]]</f>
        <v>0</v>
      </c>
      <c r="S272" s="25">
        <v>0</v>
      </c>
      <c r="T272" s="52">
        <v>2</v>
      </c>
      <c r="U272" s="52">
        <v>1</v>
      </c>
      <c r="V272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73" spans="1:23" x14ac:dyDescent="0.35">
      <c r="A273" s="14" t="s">
        <v>85</v>
      </c>
      <c r="B273" s="15">
        <v>39</v>
      </c>
      <c r="C273" s="16">
        <v>44095</v>
      </c>
      <c r="D273" s="57">
        <v>6</v>
      </c>
      <c r="E273" s="2">
        <v>5</v>
      </c>
      <c r="F273" s="2">
        <f>weekly_deaths_location_cause_and_excess_deaths_other_institution[[#This Row],[All causes]]-weekly_deaths_location_cause_and_excess_deaths_other_institution[[#This Row],[All causes five year average]]</f>
        <v>1</v>
      </c>
      <c r="G273" s="2">
        <v>3</v>
      </c>
      <c r="H273" s="2">
        <v>2</v>
      </c>
      <c r="I273" s="2">
        <f>weekly_deaths_location_cause_and_excess_deaths_other_institution[[#This Row],[Cancer deaths]]-weekly_deaths_location_cause_and_excess_deaths_other_institution[[#This Row],[Cancer five year average]]</f>
        <v>1</v>
      </c>
      <c r="J273" s="2">
        <v>1</v>
      </c>
      <c r="K273" s="2">
        <v>2</v>
      </c>
      <c r="L273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73" s="25">
        <v>0</v>
      </c>
      <c r="N273" s="25">
        <v>1</v>
      </c>
      <c r="O273" s="25">
        <f>weekly_deaths_location_cause_and_excess_deaths_other_institution[[#This Row],[Circulatory deaths]]-weekly_deaths_location_cause_and_excess_deaths_other_institution[[#This Row],[Circulatory five year average]]</f>
        <v>-1</v>
      </c>
      <c r="P273" s="25">
        <v>1</v>
      </c>
      <c r="Q273" s="25">
        <v>2</v>
      </c>
      <c r="R273" s="25">
        <f>weekly_deaths_location_cause_and_excess_deaths_other_institution[[#This Row],[Respiratory deaths]]-weekly_deaths_location_cause_and_excess_deaths_other_institution[[#This Row],[Respiratory five year average]]</f>
        <v>-1</v>
      </c>
      <c r="S273" s="25">
        <v>0</v>
      </c>
      <c r="T273" s="52">
        <v>1</v>
      </c>
      <c r="U273" s="52">
        <v>2</v>
      </c>
      <c r="V273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74" spans="1:23" x14ac:dyDescent="0.35">
      <c r="A274" s="14" t="s">
        <v>85</v>
      </c>
      <c r="B274" s="15">
        <v>40</v>
      </c>
      <c r="C274" s="16">
        <v>44102</v>
      </c>
      <c r="D274" s="57">
        <v>9</v>
      </c>
      <c r="E274" s="2">
        <v>4</v>
      </c>
      <c r="F274" s="2">
        <f>weekly_deaths_location_cause_and_excess_deaths_other_institution[[#This Row],[All causes]]-weekly_deaths_location_cause_and_excess_deaths_other_institution[[#This Row],[All causes five year average]]</f>
        <v>5</v>
      </c>
      <c r="G274" s="2">
        <v>2</v>
      </c>
      <c r="H274" s="2">
        <v>2</v>
      </c>
      <c r="I274" s="2">
        <f>weekly_deaths_location_cause_and_excess_deaths_other_institution[[#This Row],[Cancer deaths]]-weekly_deaths_location_cause_and_excess_deaths_other_institution[[#This Row],[Cancer five year average]]</f>
        <v>0</v>
      </c>
      <c r="J274" s="2">
        <v>3</v>
      </c>
      <c r="K274" s="2">
        <v>2</v>
      </c>
      <c r="L274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74" s="25">
        <v>1</v>
      </c>
      <c r="N274" s="25">
        <v>1</v>
      </c>
      <c r="O274" s="25">
        <f>weekly_deaths_location_cause_and_excess_deaths_other_institution[[#This Row],[Circulatory deaths]]-weekly_deaths_location_cause_and_excess_deaths_other_institution[[#This Row],[Circulatory five year average]]</f>
        <v>0</v>
      </c>
      <c r="P274" s="25">
        <v>0</v>
      </c>
      <c r="Q274" s="25">
        <v>0</v>
      </c>
      <c r="R274" s="25">
        <f>weekly_deaths_location_cause_and_excess_deaths_other_institution[[#This Row],[Respiratory deaths]]-weekly_deaths_location_cause_and_excess_deaths_other_institution[[#This Row],[Respiratory five year average]]</f>
        <v>0</v>
      </c>
      <c r="S274" s="25">
        <v>1</v>
      </c>
      <c r="T274" s="52">
        <v>2</v>
      </c>
      <c r="U274" s="52">
        <v>2</v>
      </c>
      <c r="V274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75" spans="1:23" x14ac:dyDescent="0.35">
      <c r="A275" s="14" t="s">
        <v>85</v>
      </c>
      <c r="B275" s="15">
        <v>41</v>
      </c>
      <c r="C275" s="16">
        <v>44109</v>
      </c>
      <c r="D275" s="57">
        <v>5</v>
      </c>
      <c r="E275" s="2">
        <v>4</v>
      </c>
      <c r="F275" s="2">
        <f>weekly_deaths_location_cause_and_excess_deaths_other_institution[[#This Row],[All causes]]-weekly_deaths_location_cause_and_excess_deaths_other_institution[[#This Row],[All causes five year average]]</f>
        <v>1</v>
      </c>
      <c r="G275" s="2">
        <v>3</v>
      </c>
      <c r="H275" s="2">
        <v>2</v>
      </c>
      <c r="I275" s="2">
        <f>weekly_deaths_location_cause_and_excess_deaths_other_institution[[#This Row],[Cancer deaths]]-weekly_deaths_location_cause_and_excess_deaths_other_institution[[#This Row],[Cancer five year average]]</f>
        <v>1</v>
      </c>
      <c r="J275" s="2">
        <v>1</v>
      </c>
      <c r="K275" s="2">
        <v>1</v>
      </c>
      <c r="L275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75" s="25">
        <v>1</v>
      </c>
      <c r="N275" s="25">
        <v>2</v>
      </c>
      <c r="O275" s="25">
        <f>weekly_deaths_location_cause_and_excess_deaths_other_institution[[#This Row],[Circulatory deaths]]-weekly_deaths_location_cause_and_excess_deaths_other_institution[[#This Row],[Circulatory five year average]]</f>
        <v>-1</v>
      </c>
      <c r="P275" s="25">
        <v>0</v>
      </c>
      <c r="Q275" s="25">
        <v>1</v>
      </c>
      <c r="R275" s="25">
        <f>weekly_deaths_location_cause_and_excess_deaths_other_institution[[#This Row],[Respiratory deaths]]-weekly_deaths_location_cause_and_excess_deaths_other_institution[[#This Row],[Respiratory five year average]]</f>
        <v>-1</v>
      </c>
      <c r="S275" s="25">
        <v>0</v>
      </c>
      <c r="T275" s="52">
        <v>0</v>
      </c>
      <c r="U275" s="52">
        <v>2</v>
      </c>
      <c r="V275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76" spans="1:23" x14ac:dyDescent="0.35">
      <c r="A276" s="14" t="s">
        <v>85</v>
      </c>
      <c r="B276" s="15">
        <v>42</v>
      </c>
      <c r="C276" s="16">
        <v>44116</v>
      </c>
      <c r="D276" s="57">
        <v>7</v>
      </c>
      <c r="E276" s="2">
        <v>5</v>
      </c>
      <c r="F276" s="2">
        <f>weekly_deaths_location_cause_and_excess_deaths_other_institution[[#This Row],[All causes]]-weekly_deaths_location_cause_and_excess_deaths_other_institution[[#This Row],[All causes five year average]]</f>
        <v>2</v>
      </c>
      <c r="G276" s="2">
        <v>3</v>
      </c>
      <c r="H276" s="2">
        <v>2</v>
      </c>
      <c r="I276" s="2">
        <f>weekly_deaths_location_cause_and_excess_deaths_other_institution[[#This Row],[Cancer deaths]]-weekly_deaths_location_cause_and_excess_deaths_other_institution[[#This Row],[Cancer five year average]]</f>
        <v>1</v>
      </c>
      <c r="J276" s="2">
        <v>0</v>
      </c>
      <c r="K276" s="2">
        <v>1</v>
      </c>
      <c r="L276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76" s="25">
        <v>1</v>
      </c>
      <c r="N276" s="25">
        <v>1</v>
      </c>
      <c r="O276" s="25">
        <f>weekly_deaths_location_cause_and_excess_deaths_other_institution[[#This Row],[Circulatory deaths]]-weekly_deaths_location_cause_and_excess_deaths_other_institution[[#This Row],[Circulatory five year average]]</f>
        <v>0</v>
      </c>
      <c r="P276" s="25">
        <v>0</v>
      </c>
      <c r="Q276" s="25">
        <v>1</v>
      </c>
      <c r="R276" s="25">
        <f>weekly_deaths_location_cause_and_excess_deaths_other_institution[[#This Row],[Respiratory deaths]]-weekly_deaths_location_cause_and_excess_deaths_other_institution[[#This Row],[Respiratory five year average]]</f>
        <v>-1</v>
      </c>
      <c r="S276" s="25">
        <v>0</v>
      </c>
      <c r="T276" s="52">
        <v>3</v>
      </c>
      <c r="U276" s="52">
        <v>2</v>
      </c>
      <c r="V276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77" spans="1:23" x14ac:dyDescent="0.35">
      <c r="A277" s="14" t="s">
        <v>85</v>
      </c>
      <c r="B277" s="15">
        <v>43</v>
      </c>
      <c r="C277" s="16">
        <v>44123</v>
      </c>
      <c r="D277" s="57">
        <v>2</v>
      </c>
      <c r="E277" s="2">
        <v>5</v>
      </c>
      <c r="F277" s="2">
        <f>weekly_deaths_location_cause_and_excess_deaths_other_institution[[#This Row],[All causes]]-weekly_deaths_location_cause_and_excess_deaths_other_institution[[#This Row],[All causes five year average]]</f>
        <v>-3</v>
      </c>
      <c r="G277" s="2">
        <v>0</v>
      </c>
      <c r="H277" s="2">
        <v>4</v>
      </c>
      <c r="I277" s="2">
        <f>weekly_deaths_location_cause_and_excess_deaths_other_institution[[#This Row],[Cancer deaths]]-weekly_deaths_location_cause_and_excess_deaths_other_institution[[#This Row],[Cancer five year average]]</f>
        <v>-4</v>
      </c>
      <c r="J277" s="2">
        <v>0</v>
      </c>
      <c r="K277" s="2">
        <v>1</v>
      </c>
      <c r="L277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77" s="25">
        <v>0</v>
      </c>
      <c r="N277" s="25">
        <v>2</v>
      </c>
      <c r="O277" s="25">
        <f>weekly_deaths_location_cause_and_excess_deaths_other_institution[[#This Row],[Circulatory deaths]]-weekly_deaths_location_cause_and_excess_deaths_other_institution[[#This Row],[Circulatory five year average]]</f>
        <v>-2</v>
      </c>
      <c r="P277" s="25">
        <v>0</v>
      </c>
      <c r="Q277" s="25">
        <v>0</v>
      </c>
      <c r="R277" s="25">
        <f>weekly_deaths_location_cause_and_excess_deaths_other_institution[[#This Row],[Respiratory deaths]]-weekly_deaths_location_cause_and_excess_deaths_other_institution[[#This Row],[Respiratory five year average]]</f>
        <v>0</v>
      </c>
      <c r="S277" s="25">
        <v>0</v>
      </c>
      <c r="T277" s="52">
        <v>2</v>
      </c>
      <c r="U277" s="52">
        <v>1</v>
      </c>
      <c r="V277" s="25">
        <f>weekly_deaths_location_cause_and_excess_deaths_other_institution[[#This Row],[Other causes]]-weekly_deaths_location_cause_and_excess_deaths_other_institution[[#This Row],[Other causes five year average]]</f>
        <v>1</v>
      </c>
    </row>
    <row r="278" spans="1:23" x14ac:dyDescent="0.35">
      <c r="A278" s="14" t="s">
        <v>85</v>
      </c>
      <c r="B278" s="15">
        <v>44</v>
      </c>
      <c r="C278" s="16">
        <v>44130</v>
      </c>
      <c r="D278" s="57">
        <v>1</v>
      </c>
      <c r="E278" s="2">
        <v>4</v>
      </c>
      <c r="F278" s="2">
        <f>weekly_deaths_location_cause_and_excess_deaths_other_institution[[#This Row],[All causes]]-weekly_deaths_location_cause_and_excess_deaths_other_institution[[#This Row],[All causes five year average]]</f>
        <v>-3</v>
      </c>
      <c r="G278" s="2">
        <v>0</v>
      </c>
      <c r="H278" s="2">
        <v>2</v>
      </c>
      <c r="I278" s="2">
        <f>weekly_deaths_location_cause_and_excess_deaths_other_institution[[#This Row],[Cancer deaths]]-weekly_deaths_location_cause_and_excess_deaths_other_institution[[#This Row],[Cancer five year average]]</f>
        <v>-2</v>
      </c>
      <c r="J278" s="2">
        <v>0</v>
      </c>
      <c r="K278" s="2">
        <v>2</v>
      </c>
      <c r="L278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78" s="25">
        <v>1</v>
      </c>
      <c r="N278" s="25">
        <v>0</v>
      </c>
      <c r="O278" s="25">
        <f>weekly_deaths_location_cause_and_excess_deaths_other_institution[[#This Row],[Circulatory deaths]]-weekly_deaths_location_cause_and_excess_deaths_other_institution[[#This Row],[Circulatory five year average]]</f>
        <v>1</v>
      </c>
      <c r="P278" s="25">
        <v>0</v>
      </c>
      <c r="Q278" s="25">
        <v>2</v>
      </c>
      <c r="R278" s="25">
        <f>weekly_deaths_location_cause_and_excess_deaths_other_institution[[#This Row],[Respiratory deaths]]-weekly_deaths_location_cause_and_excess_deaths_other_institution[[#This Row],[Respiratory five year average]]</f>
        <v>-2</v>
      </c>
      <c r="S278" s="25">
        <v>0</v>
      </c>
      <c r="T278" s="52">
        <v>0</v>
      </c>
      <c r="U278" s="52">
        <v>2</v>
      </c>
      <c r="V278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79" spans="1:23" x14ac:dyDescent="0.35">
      <c r="A279" s="14" t="s">
        <v>85</v>
      </c>
      <c r="B279" s="15">
        <v>45</v>
      </c>
      <c r="C279" s="16">
        <v>44137</v>
      </c>
      <c r="D279" s="57">
        <v>4</v>
      </c>
      <c r="E279" s="2">
        <v>5</v>
      </c>
      <c r="F279" s="2">
        <f>weekly_deaths_location_cause_and_excess_deaths_other_institution[[#This Row],[All causes]]-weekly_deaths_location_cause_and_excess_deaths_other_institution[[#This Row],[All causes five year average]]</f>
        <v>-1</v>
      </c>
      <c r="G279" s="2">
        <v>0</v>
      </c>
      <c r="H279" s="2">
        <v>2</v>
      </c>
      <c r="I279" s="2">
        <f>weekly_deaths_location_cause_and_excess_deaths_other_institution[[#This Row],[Cancer deaths]]-weekly_deaths_location_cause_and_excess_deaths_other_institution[[#This Row],[Cancer five year average]]</f>
        <v>-2</v>
      </c>
      <c r="J279" s="2">
        <v>2</v>
      </c>
      <c r="K279" s="2">
        <v>1</v>
      </c>
      <c r="L279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79" s="25">
        <v>0</v>
      </c>
      <c r="N279" s="25">
        <v>2</v>
      </c>
      <c r="O279" s="25">
        <f>weekly_deaths_location_cause_and_excess_deaths_other_institution[[#This Row],[Circulatory deaths]]-weekly_deaths_location_cause_and_excess_deaths_other_institution[[#This Row],[Circulatory five year average]]</f>
        <v>-2</v>
      </c>
      <c r="P279" s="25">
        <v>0</v>
      </c>
      <c r="Q279" s="25">
        <v>2</v>
      </c>
      <c r="R279" s="25">
        <f>weekly_deaths_location_cause_and_excess_deaths_other_institution[[#This Row],[Respiratory deaths]]-weekly_deaths_location_cause_and_excess_deaths_other_institution[[#This Row],[Respiratory five year average]]</f>
        <v>-2</v>
      </c>
      <c r="S279" s="25">
        <v>1</v>
      </c>
      <c r="T279" s="52">
        <v>1</v>
      </c>
      <c r="U279" s="52">
        <v>2</v>
      </c>
      <c r="V279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80" spans="1:23" x14ac:dyDescent="0.35">
      <c r="A280" s="14" t="s">
        <v>85</v>
      </c>
      <c r="B280" s="15">
        <v>46</v>
      </c>
      <c r="C280" s="16">
        <v>44144</v>
      </c>
      <c r="D280" s="57">
        <v>3</v>
      </c>
      <c r="E280" s="2">
        <v>8</v>
      </c>
      <c r="F280" s="2">
        <f>weekly_deaths_location_cause_and_excess_deaths_other_institution[[#This Row],[All causes]]-weekly_deaths_location_cause_and_excess_deaths_other_institution[[#This Row],[All causes five year average]]</f>
        <v>-5</v>
      </c>
      <c r="G280" s="2">
        <v>0</v>
      </c>
      <c r="H280" s="2">
        <v>3</v>
      </c>
      <c r="I280" s="2">
        <f>weekly_deaths_location_cause_and_excess_deaths_other_institution[[#This Row],[Cancer deaths]]-weekly_deaths_location_cause_and_excess_deaths_other_institution[[#This Row],[Cancer five year average]]</f>
        <v>-3</v>
      </c>
      <c r="J280" s="2">
        <v>3</v>
      </c>
      <c r="K280" s="2">
        <v>2</v>
      </c>
      <c r="L280" s="2">
        <f>weekly_deaths_location_cause_and_excess_deaths_other_institution[[#This Row],[Dementia / Alzhemier''s deaths]]-weekly_deaths_location_cause_and_excess_deaths_other_institution[[#This Row],[Dementia / Alzheimer''s five year average]]</f>
        <v>1</v>
      </c>
      <c r="M280" s="25">
        <v>0</v>
      </c>
      <c r="N280" s="25">
        <v>2</v>
      </c>
      <c r="O280" s="25">
        <f>weekly_deaths_location_cause_and_excess_deaths_other_institution[[#This Row],[Circulatory deaths]]-weekly_deaths_location_cause_and_excess_deaths_other_institution[[#This Row],[Circulatory five year average]]</f>
        <v>-2</v>
      </c>
      <c r="P280" s="25">
        <v>0</v>
      </c>
      <c r="Q280" s="25">
        <v>3</v>
      </c>
      <c r="R280" s="25">
        <f>weekly_deaths_location_cause_and_excess_deaths_other_institution[[#This Row],[Respiratory deaths]]-weekly_deaths_location_cause_and_excess_deaths_other_institution[[#This Row],[Respiratory five year average]]</f>
        <v>-3</v>
      </c>
      <c r="S280" s="25">
        <v>0</v>
      </c>
      <c r="T280" s="52">
        <v>0</v>
      </c>
      <c r="U280" s="52">
        <v>2</v>
      </c>
      <c r="V280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81" spans="1:23" x14ac:dyDescent="0.35">
      <c r="A281" s="14" t="s">
        <v>85</v>
      </c>
      <c r="B281" s="15">
        <v>47</v>
      </c>
      <c r="C281" s="16">
        <v>44151</v>
      </c>
      <c r="D281" s="57">
        <v>3</v>
      </c>
      <c r="E281" s="2">
        <v>6</v>
      </c>
      <c r="F281" s="2">
        <f>weekly_deaths_location_cause_and_excess_deaths_other_institution[[#This Row],[All causes]]-weekly_deaths_location_cause_and_excess_deaths_other_institution[[#This Row],[All causes five year average]]</f>
        <v>-3</v>
      </c>
      <c r="G281" s="2">
        <v>0</v>
      </c>
      <c r="H281" s="2">
        <v>2</v>
      </c>
      <c r="I281" s="2">
        <f>weekly_deaths_location_cause_and_excess_deaths_other_institution[[#This Row],[Cancer deaths]]-weekly_deaths_location_cause_and_excess_deaths_other_institution[[#This Row],[Cancer five year average]]</f>
        <v>-2</v>
      </c>
      <c r="J281" s="2">
        <v>1</v>
      </c>
      <c r="K281" s="2">
        <v>2</v>
      </c>
      <c r="L281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81" s="25">
        <v>1</v>
      </c>
      <c r="N281" s="25">
        <v>2</v>
      </c>
      <c r="O281" s="25">
        <f>weekly_deaths_location_cause_and_excess_deaths_other_institution[[#This Row],[Circulatory deaths]]-weekly_deaths_location_cause_and_excess_deaths_other_institution[[#This Row],[Circulatory five year average]]</f>
        <v>-1</v>
      </c>
      <c r="P281" s="25">
        <v>0</v>
      </c>
      <c r="Q281" s="25">
        <v>1</v>
      </c>
      <c r="R281" s="25">
        <f>weekly_deaths_location_cause_and_excess_deaths_other_institution[[#This Row],[Respiratory deaths]]-weekly_deaths_location_cause_and_excess_deaths_other_institution[[#This Row],[Respiratory five year average]]</f>
        <v>-1</v>
      </c>
      <c r="S281" s="25">
        <v>0</v>
      </c>
      <c r="T281" s="52">
        <v>1</v>
      </c>
      <c r="U281" s="52">
        <v>2</v>
      </c>
      <c r="V281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82" spans="1:23" x14ac:dyDescent="0.35">
      <c r="A282" s="14" t="s">
        <v>85</v>
      </c>
      <c r="B282" s="15">
        <v>48</v>
      </c>
      <c r="C282" s="16">
        <v>44158</v>
      </c>
      <c r="D282" s="57">
        <v>7</v>
      </c>
      <c r="E282" s="2">
        <v>5</v>
      </c>
      <c r="F282" s="2">
        <f>weekly_deaths_location_cause_and_excess_deaths_other_institution[[#This Row],[All causes]]-weekly_deaths_location_cause_and_excess_deaths_other_institution[[#This Row],[All causes five year average]]</f>
        <v>2</v>
      </c>
      <c r="G282" s="2">
        <v>2</v>
      </c>
      <c r="H282" s="2">
        <v>2</v>
      </c>
      <c r="I282" s="2">
        <f>weekly_deaths_location_cause_and_excess_deaths_other_institution[[#This Row],[Cancer deaths]]-weekly_deaths_location_cause_and_excess_deaths_other_institution[[#This Row],[Cancer five year average]]</f>
        <v>0</v>
      </c>
      <c r="J282" s="2">
        <v>2</v>
      </c>
      <c r="K282" s="2">
        <v>2</v>
      </c>
      <c r="L282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82" s="25">
        <v>1</v>
      </c>
      <c r="N282" s="25">
        <v>1</v>
      </c>
      <c r="O282" s="25">
        <f>weekly_deaths_location_cause_and_excess_deaths_other_institution[[#This Row],[Circulatory deaths]]-weekly_deaths_location_cause_and_excess_deaths_other_institution[[#This Row],[Circulatory five year average]]</f>
        <v>0</v>
      </c>
      <c r="P282" s="25">
        <v>0</v>
      </c>
      <c r="Q282" s="25">
        <v>1</v>
      </c>
      <c r="R282" s="25">
        <f>weekly_deaths_location_cause_and_excess_deaths_other_institution[[#This Row],[Respiratory deaths]]-weekly_deaths_location_cause_and_excess_deaths_other_institution[[#This Row],[Respiratory five year average]]</f>
        <v>-1</v>
      </c>
      <c r="S282" s="25">
        <v>1</v>
      </c>
      <c r="T282" s="52">
        <v>1</v>
      </c>
      <c r="U282" s="52">
        <v>2</v>
      </c>
      <c r="V282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83" spans="1:23" x14ac:dyDescent="0.35">
      <c r="A283" s="14" t="s">
        <v>85</v>
      </c>
      <c r="B283" s="15">
        <v>49</v>
      </c>
      <c r="C283" s="16">
        <v>44165</v>
      </c>
      <c r="D283" s="57">
        <v>5</v>
      </c>
      <c r="E283" s="2">
        <v>6</v>
      </c>
      <c r="F283" s="2">
        <f>weekly_deaths_location_cause_and_excess_deaths_other_institution[[#This Row],[All causes]]-weekly_deaths_location_cause_and_excess_deaths_other_institution[[#This Row],[All causes five year average]]</f>
        <v>-1</v>
      </c>
      <c r="G283" s="2">
        <v>1</v>
      </c>
      <c r="H283" s="2">
        <v>2</v>
      </c>
      <c r="I283" s="2">
        <f>weekly_deaths_location_cause_and_excess_deaths_other_institution[[#This Row],[Cancer deaths]]-weekly_deaths_location_cause_and_excess_deaths_other_institution[[#This Row],[Cancer five year average]]</f>
        <v>-1</v>
      </c>
      <c r="J283" s="2">
        <v>2</v>
      </c>
      <c r="K283" s="2">
        <v>2</v>
      </c>
      <c r="L283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83" s="25">
        <v>1</v>
      </c>
      <c r="N283" s="25">
        <v>2</v>
      </c>
      <c r="O283" s="25">
        <f>weekly_deaths_location_cause_and_excess_deaths_other_institution[[#This Row],[Circulatory deaths]]-weekly_deaths_location_cause_and_excess_deaths_other_institution[[#This Row],[Circulatory five year average]]</f>
        <v>-1</v>
      </c>
      <c r="P283" s="25">
        <v>1</v>
      </c>
      <c r="Q283" s="25">
        <v>0</v>
      </c>
      <c r="R283" s="25">
        <f>weekly_deaths_location_cause_and_excess_deaths_other_institution[[#This Row],[Respiratory deaths]]-weekly_deaths_location_cause_and_excess_deaths_other_institution[[#This Row],[Respiratory five year average]]</f>
        <v>1</v>
      </c>
      <c r="S283" s="25">
        <v>0</v>
      </c>
      <c r="T283" s="52">
        <v>0</v>
      </c>
      <c r="U283" s="52">
        <v>2</v>
      </c>
      <c r="V283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84" spans="1:23" x14ac:dyDescent="0.35">
      <c r="A284" s="14" t="s">
        <v>85</v>
      </c>
      <c r="B284" s="15">
        <v>50</v>
      </c>
      <c r="C284" s="16">
        <v>44172</v>
      </c>
      <c r="D284" s="57">
        <v>2</v>
      </c>
      <c r="E284" s="2">
        <v>6</v>
      </c>
      <c r="F284" s="2">
        <f>weekly_deaths_location_cause_and_excess_deaths_other_institution[[#This Row],[All causes]]-weekly_deaths_location_cause_and_excess_deaths_other_institution[[#This Row],[All causes five year average]]</f>
        <v>-4</v>
      </c>
      <c r="G284" s="2">
        <v>0</v>
      </c>
      <c r="H284" s="2">
        <v>3</v>
      </c>
      <c r="I284" s="2">
        <f>weekly_deaths_location_cause_and_excess_deaths_other_institution[[#This Row],[Cancer deaths]]-weekly_deaths_location_cause_and_excess_deaths_other_institution[[#This Row],[Cancer five year average]]</f>
        <v>-3</v>
      </c>
      <c r="J284" s="2">
        <v>1</v>
      </c>
      <c r="K284" s="2">
        <v>2</v>
      </c>
      <c r="L284" s="2">
        <f>weekly_deaths_location_cause_and_excess_deaths_other_institution[[#This Row],[Dementia / Alzhemier''s deaths]]-weekly_deaths_location_cause_and_excess_deaths_other_institution[[#This Row],[Dementia / Alzheimer''s five year average]]</f>
        <v>-1</v>
      </c>
      <c r="M284" s="25">
        <v>1</v>
      </c>
      <c r="N284" s="25">
        <v>2</v>
      </c>
      <c r="O284" s="25">
        <f>weekly_deaths_location_cause_and_excess_deaths_other_institution[[#This Row],[Circulatory deaths]]-weekly_deaths_location_cause_and_excess_deaths_other_institution[[#This Row],[Circulatory five year average]]</f>
        <v>-1</v>
      </c>
      <c r="P284" s="25">
        <v>0</v>
      </c>
      <c r="Q284" s="25">
        <v>1</v>
      </c>
      <c r="R284" s="25">
        <f>weekly_deaths_location_cause_and_excess_deaths_other_institution[[#This Row],[Respiratory deaths]]-weekly_deaths_location_cause_and_excess_deaths_other_institution[[#This Row],[Respiratory five year average]]</f>
        <v>-1</v>
      </c>
      <c r="S284" s="25">
        <v>0</v>
      </c>
      <c r="T284" s="52">
        <v>0</v>
      </c>
      <c r="U284" s="52">
        <v>2</v>
      </c>
      <c r="V284" s="25">
        <f>weekly_deaths_location_cause_and_excess_deaths_other_institution[[#This Row],[Other causes]]-weekly_deaths_location_cause_and_excess_deaths_other_institution[[#This Row],[Other causes five year average]]</f>
        <v>-2</v>
      </c>
    </row>
    <row r="285" spans="1:23" x14ac:dyDescent="0.35">
      <c r="A285" s="14" t="s">
        <v>85</v>
      </c>
      <c r="B285" s="15">
        <v>51</v>
      </c>
      <c r="C285" s="16">
        <v>44179</v>
      </c>
      <c r="D285" s="57">
        <v>2</v>
      </c>
      <c r="E285" s="2">
        <v>5</v>
      </c>
      <c r="F285" s="2">
        <f>weekly_deaths_location_cause_and_excess_deaths_other_institution[[#This Row],[All causes]]-weekly_deaths_location_cause_and_excess_deaths_other_institution[[#This Row],[All causes five year average]]</f>
        <v>-3</v>
      </c>
      <c r="G285" s="2">
        <v>0</v>
      </c>
      <c r="H285" s="2">
        <v>2</v>
      </c>
      <c r="I285" s="2">
        <f>weekly_deaths_location_cause_and_excess_deaths_other_institution[[#This Row],[Cancer deaths]]-weekly_deaths_location_cause_and_excess_deaths_other_institution[[#This Row],[Cancer five year average]]</f>
        <v>-2</v>
      </c>
      <c r="J285" s="2">
        <v>1</v>
      </c>
      <c r="K285" s="2">
        <v>1</v>
      </c>
      <c r="L285" s="2">
        <f>weekly_deaths_location_cause_and_excess_deaths_other_institution[[#This Row],[Dementia / Alzhemier''s deaths]]-weekly_deaths_location_cause_and_excess_deaths_other_institution[[#This Row],[Dementia / Alzheimer''s five year average]]</f>
        <v>0</v>
      </c>
      <c r="M285" s="25">
        <v>0</v>
      </c>
      <c r="N285" s="25">
        <v>1</v>
      </c>
      <c r="O285" s="25">
        <f>weekly_deaths_location_cause_and_excess_deaths_other_institution[[#This Row],[Circulatory deaths]]-weekly_deaths_location_cause_and_excess_deaths_other_institution[[#This Row],[Circulatory five year average]]</f>
        <v>-1</v>
      </c>
      <c r="P285" s="25">
        <v>0</v>
      </c>
      <c r="Q285" s="25">
        <v>1</v>
      </c>
      <c r="R285" s="25">
        <f>weekly_deaths_location_cause_and_excess_deaths_other_institution[[#This Row],[Respiratory deaths]]-weekly_deaths_location_cause_and_excess_deaths_other_institution[[#This Row],[Respiratory five year average]]</f>
        <v>-1</v>
      </c>
      <c r="S285" s="25">
        <v>0</v>
      </c>
      <c r="T285" s="52">
        <v>1</v>
      </c>
      <c r="U285" s="52">
        <v>2</v>
      </c>
      <c r="V285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86" spans="1:23" x14ac:dyDescent="0.35">
      <c r="A286" s="14" t="s">
        <v>85</v>
      </c>
      <c r="B286" s="15">
        <v>52</v>
      </c>
      <c r="C286" s="16">
        <v>44186</v>
      </c>
      <c r="D286" s="57">
        <v>5</v>
      </c>
      <c r="E286" s="2">
        <v>5</v>
      </c>
      <c r="F286" s="2">
        <f>weekly_deaths_location_cause_and_excess_deaths_other_institution[[#This Row],[All causes]]-weekly_deaths_location_cause_and_excess_deaths_other_institution[[#This Row],[All causes five year average]]</f>
        <v>0</v>
      </c>
      <c r="G286" s="2">
        <v>0</v>
      </c>
      <c r="H286" s="2">
        <v>2</v>
      </c>
      <c r="I286" s="2">
        <f>weekly_deaths_location_cause_and_excess_deaths_other_institution[[#This Row],[Cancer deaths]]-weekly_deaths_location_cause_and_excess_deaths_other_institution[[#This Row],[Cancer five year average]]</f>
        <v>-2</v>
      </c>
      <c r="J286" s="2">
        <v>0</v>
      </c>
      <c r="K286" s="2">
        <v>2</v>
      </c>
      <c r="L286" s="2">
        <f>weekly_deaths_location_cause_and_excess_deaths_other_institution[[#This Row],[Dementia / Alzhemier''s deaths]]-weekly_deaths_location_cause_and_excess_deaths_other_institution[[#This Row],[Dementia / Alzheimer''s five year average]]</f>
        <v>-2</v>
      </c>
      <c r="M286" s="25">
        <v>1</v>
      </c>
      <c r="N286" s="25">
        <v>1</v>
      </c>
      <c r="O286" s="25">
        <f>weekly_deaths_location_cause_and_excess_deaths_other_institution[[#This Row],[Circulatory deaths]]-weekly_deaths_location_cause_and_excess_deaths_other_institution[[#This Row],[Circulatory five year average]]</f>
        <v>0</v>
      </c>
      <c r="P286" s="25">
        <v>1</v>
      </c>
      <c r="Q286" s="25">
        <v>1</v>
      </c>
      <c r="R286" s="25">
        <f>weekly_deaths_location_cause_and_excess_deaths_other_institution[[#This Row],[Respiratory deaths]]-weekly_deaths_location_cause_and_excess_deaths_other_institution[[#This Row],[Respiratory five year average]]</f>
        <v>0</v>
      </c>
      <c r="S286" s="25">
        <v>1</v>
      </c>
      <c r="T286" s="52">
        <v>2</v>
      </c>
      <c r="U286" s="52">
        <v>2</v>
      </c>
      <c r="V286" s="25">
        <f>weekly_deaths_location_cause_and_excess_deaths_other_institution[[#This Row],[Other causes]]-weekly_deaths_location_cause_and_excess_deaths_other_institution[[#This Row],[Other causes five year average]]</f>
        <v>0</v>
      </c>
    </row>
    <row r="287" spans="1:23" x14ac:dyDescent="0.35">
      <c r="A287" s="11" t="s">
        <v>85</v>
      </c>
      <c r="B287" s="15">
        <v>53</v>
      </c>
      <c r="C287" s="16">
        <v>44193</v>
      </c>
      <c r="D287" s="59">
        <v>2</v>
      </c>
      <c r="E287" s="52">
        <v>4</v>
      </c>
      <c r="F287" s="52">
        <f>weekly_deaths_location_cause_and_excess_deaths_other_institution[[#This Row],[All causes]]-weekly_deaths_location_cause_and_excess_deaths_other_institution[[#This Row],[All causes five year average]]</f>
        <v>-2</v>
      </c>
      <c r="G287" s="52">
        <v>0</v>
      </c>
      <c r="H287" s="52">
        <v>1</v>
      </c>
      <c r="I287" s="52">
        <f>weekly_deaths_location_cause_and_excess_deaths_other_institution[[#This Row],[Cancer deaths]]-weekly_deaths_location_cause_and_excess_deaths_other_institution[[#This Row],[Cancer five year average]]</f>
        <v>-1</v>
      </c>
      <c r="J287" s="52">
        <v>2</v>
      </c>
      <c r="K287" s="52">
        <v>0</v>
      </c>
      <c r="L287" s="52">
        <f>weekly_deaths_location_cause_and_excess_deaths_other_institution[[#This Row],[Dementia / Alzhemier''s deaths]]-weekly_deaths_location_cause_and_excess_deaths_other_institution[[#This Row],[Dementia / Alzheimer''s five year average]]</f>
        <v>2</v>
      </c>
      <c r="M287" s="25">
        <v>0</v>
      </c>
      <c r="N287" s="25">
        <v>2</v>
      </c>
      <c r="O287" s="25">
        <f>weekly_deaths_location_cause_and_excess_deaths_other_institution[[#This Row],[Circulatory deaths]]-weekly_deaths_location_cause_and_excess_deaths_other_institution[[#This Row],[Circulatory five year average]]</f>
        <v>-2</v>
      </c>
      <c r="P287" s="25">
        <v>0</v>
      </c>
      <c r="Q287" s="25">
        <v>0</v>
      </c>
      <c r="R287" s="25">
        <f>weekly_deaths_location_cause_and_excess_deaths_other_institution[[#This Row],[Respiratory deaths]]-weekly_deaths_location_cause_and_excess_deaths_other_institution[[#This Row],[Respiratory five year average]]</f>
        <v>0</v>
      </c>
      <c r="S287" s="25">
        <v>0</v>
      </c>
      <c r="T287" s="52">
        <v>0</v>
      </c>
      <c r="U287" s="52">
        <v>1</v>
      </c>
      <c r="V287" s="25">
        <f>weekly_deaths_location_cause_and_excess_deaths_other_institution[[#This Row],[Other causes]]-weekly_deaths_location_cause_and_excess_deaths_other_institution[[#This Row],[Other causes five year average]]</f>
        <v>-1</v>
      </c>
    </row>
    <row r="288" spans="1:23" s="85" customFormat="1" x14ac:dyDescent="0.35">
      <c r="A288" s="83" t="s">
        <v>179</v>
      </c>
      <c r="B288" s="84" t="s">
        <v>179</v>
      </c>
      <c r="C288" s="84" t="s">
        <v>179</v>
      </c>
      <c r="D288" s="76">
        <f>SUBTOTAL(109,weekly_deaths_location_cause_and_excess_deaths_other_institution[All causes])</f>
        <v>259</v>
      </c>
      <c r="E288" s="77">
        <f>SUBTOTAL(109,weekly_deaths_location_cause_and_excess_deaths_other_institution[All causes five year average])</f>
        <v>255</v>
      </c>
      <c r="F288" s="77">
        <f>SUBTOTAL(109,weekly_deaths_location_cause_and_excess_deaths_other_institution[All causes excess])</f>
        <v>4</v>
      </c>
      <c r="G288" s="77">
        <f>SUBTOTAL(109,weekly_deaths_location_cause_and_excess_deaths_other_institution[All causes five year average])</f>
        <v>255</v>
      </c>
      <c r="H288" s="77">
        <f>SUBTOTAL(109,weekly_deaths_location_cause_and_excess_deaths_other_institution[All causes excess])</f>
        <v>4</v>
      </c>
      <c r="I288" s="77">
        <f>SUBTOTAL(109,weekly_deaths_location_cause_and_excess_deaths_other_institution[Cancer deaths])</f>
        <v>80</v>
      </c>
      <c r="J288" s="77">
        <f>SUBTOTAL(109,weekly_deaths_location_cause_and_excess_deaths_other_institution[All causes excess])</f>
        <v>4</v>
      </c>
      <c r="K288" s="77">
        <f>SUBTOTAL(109,weekly_deaths_location_cause_and_excess_deaths_other_institution[Cancer deaths])</f>
        <v>80</v>
      </c>
      <c r="L288" s="77">
        <f>SUBTOTAL(109,weekly_deaths_location_cause_and_excess_deaths_other_institution[Cancer five year average])</f>
        <v>127</v>
      </c>
      <c r="M288" s="77">
        <f>SUBTOTAL(109,weekly_deaths_location_cause_and_excess_deaths_other_institution[Cancer deaths])</f>
        <v>80</v>
      </c>
      <c r="N288" s="77">
        <f>SUBTOTAL(109,weekly_deaths_location_cause_and_excess_deaths_other_institution[All causes five year average])</f>
        <v>255</v>
      </c>
      <c r="O288" s="77">
        <f>SUBTOTAL(109,weekly_deaths_location_cause_and_excess_deaths_other_institution[All causes excess])</f>
        <v>4</v>
      </c>
      <c r="P288" s="77">
        <f>SUBTOTAL(109,weekly_deaths_location_cause_and_excess_deaths_other_institution[Cancer deaths])</f>
        <v>80</v>
      </c>
      <c r="Q288" s="77">
        <f>SUBTOTAL(109,weekly_deaths_location_cause_and_excess_deaths_other_institution[All causes excess])</f>
        <v>4</v>
      </c>
      <c r="R288" s="77">
        <f>SUBTOTAL(109,weekly_deaths_location_cause_and_excess_deaths_other_institution[Cancer deaths])</f>
        <v>80</v>
      </c>
      <c r="S288" s="77">
        <f>SUBTOTAL(109,weekly_deaths_location_cause_and_excess_deaths_other_institution[Cancer five year average])</f>
        <v>127</v>
      </c>
      <c r="T288" s="77">
        <f>SUBTOTAL(109,weekly_deaths_location_cause_and_excess_deaths_other_institution[Cancer deaths])</f>
        <v>80</v>
      </c>
      <c r="U288" s="77">
        <f>SUBTOTAL(109,weekly_deaths_location_cause_and_excess_deaths_other_institution[Cancer five year average])</f>
        <v>127</v>
      </c>
      <c r="V288" s="77">
        <f>SUBTOTAL(109,weekly_deaths_location_cause_and_excess_deaths_other_institution[Cancer excess])</f>
        <v>-47</v>
      </c>
      <c r="W288" s="23"/>
    </row>
  </sheetData>
  <hyperlinks>
    <hyperlink ref="A4" location="Contents!A1" display="Back to table of contents" xr:uid="{00000000-0004-0000-0A00-000000000000}"/>
  </hyperlinks>
  <pageMargins left="0.7" right="0.7" top="0.75" bottom="0.75" header="0.3" footer="0.3"/>
  <pageSetup paperSize="9" orientation="portrait" horizontalDpi="90" verticalDpi="90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zoomScaleNormal="100" workbookViewId="0"/>
  </sheetViews>
  <sheetFormatPr defaultColWidth="8.7265625" defaultRowHeight="15.5" x14ac:dyDescent="0.35"/>
  <cols>
    <col min="1" max="1" width="28.7265625" style="6" customWidth="1"/>
    <col min="2" max="2" width="87.453125" style="6" bestFit="1" customWidth="1"/>
    <col min="3" max="3" width="10.453125" style="6" customWidth="1"/>
    <col min="4" max="16384" width="8.7265625" style="6"/>
  </cols>
  <sheetData>
    <row r="1" spans="1:2" s="5" customFormat="1" x14ac:dyDescent="0.35">
      <c r="A1" s="4" t="s">
        <v>36</v>
      </c>
    </row>
    <row r="2" spans="1:2" s="5" customFormat="1" x14ac:dyDescent="0.35">
      <c r="A2" s="6" t="s">
        <v>46</v>
      </c>
    </row>
    <row r="3" spans="1:2" s="5" customFormat="1" x14ac:dyDescent="0.35">
      <c r="A3" s="6" t="s">
        <v>50</v>
      </c>
    </row>
    <row r="4" spans="1:2" s="5" customFormat="1" ht="25.15" customHeight="1" x14ac:dyDescent="0.35">
      <c r="A4" s="23" t="s">
        <v>48</v>
      </c>
      <c r="B4" s="23" t="s">
        <v>37</v>
      </c>
    </row>
    <row r="5" spans="1:2" ht="31.15" customHeight="1" x14ac:dyDescent="0.35">
      <c r="A5" s="37" t="s">
        <v>38</v>
      </c>
      <c r="B5" s="38" t="s">
        <v>38</v>
      </c>
    </row>
    <row r="6" spans="1:2" ht="31.15" customHeight="1" x14ac:dyDescent="0.35">
      <c r="A6" s="39">
        <v>1</v>
      </c>
      <c r="B6" s="38" t="s">
        <v>171</v>
      </c>
    </row>
    <row r="7" spans="1:2" ht="31.15" customHeight="1" x14ac:dyDescent="0.35">
      <c r="A7" s="39">
        <v>2</v>
      </c>
      <c r="B7" s="38" t="s">
        <v>172</v>
      </c>
    </row>
    <row r="8" spans="1:2" ht="31.15" customHeight="1" x14ac:dyDescent="0.35">
      <c r="A8" s="39">
        <v>3</v>
      </c>
      <c r="B8" s="38" t="s">
        <v>173</v>
      </c>
    </row>
    <row r="9" spans="1:2" ht="31.15" customHeight="1" x14ac:dyDescent="0.35">
      <c r="A9" s="39">
        <v>4</v>
      </c>
      <c r="B9" s="40" t="s">
        <v>174</v>
      </c>
    </row>
    <row r="10" spans="1:2" ht="31.15" customHeight="1" x14ac:dyDescent="0.35">
      <c r="A10" s="39">
        <v>5</v>
      </c>
      <c r="B10" s="40" t="s">
        <v>175</v>
      </c>
    </row>
    <row r="11" spans="1:2" ht="31.15" customHeight="1" x14ac:dyDescent="0.35">
      <c r="A11" s="39">
        <v>6</v>
      </c>
      <c r="B11" s="40" t="s">
        <v>176</v>
      </c>
    </row>
    <row r="12" spans="1:2" ht="31.15" customHeight="1" x14ac:dyDescent="0.35">
      <c r="A12" s="39">
        <v>7</v>
      </c>
      <c r="B12" s="40" t="s">
        <v>177</v>
      </c>
    </row>
    <row r="13" spans="1:2" ht="31.15" customHeight="1" x14ac:dyDescent="0.35">
      <c r="A13" s="39">
        <v>8</v>
      </c>
      <c r="B13" s="40" t="s">
        <v>178</v>
      </c>
    </row>
  </sheetData>
  <hyperlinks>
    <hyperlink ref="A5" location="Notes!A1" display="Notes" xr:uid="{00000000-0004-0000-0100-000000000000}"/>
    <hyperlink ref="A6" location="'1'!A1" display="'1'!A1" xr:uid="{00000000-0004-0000-0100-000001000000}"/>
    <hyperlink ref="A7" location="'2'!A1" display="'2'!A1" xr:uid="{00000000-0004-0000-0100-000002000000}"/>
    <hyperlink ref="A8" location="'3'!A1" display="'3'!A1" xr:uid="{00000000-0004-0000-0100-000003000000}"/>
    <hyperlink ref="A9" location="'4'!A1" display="'4'!A1" xr:uid="{00000000-0004-0000-0100-000004000000}"/>
    <hyperlink ref="A10" location="'5'!A1" display="'5'!A1" xr:uid="{00000000-0004-0000-0100-000005000000}"/>
    <hyperlink ref="A11" location="'6'!A1" display="'6'!A1" xr:uid="{00000000-0004-0000-0100-000006000000}"/>
    <hyperlink ref="A12" location="'7'!A1" display="'7'!A1" xr:uid="{00000000-0004-0000-0100-000007000000}"/>
    <hyperlink ref="A13" location="'8'!A1" display="'8'!A1" xr:uid="{00000000-0004-0000-0100-000008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Normal="100" workbookViewId="0"/>
  </sheetViews>
  <sheetFormatPr defaultColWidth="8.7265625" defaultRowHeight="15.5" x14ac:dyDescent="0.35"/>
  <cols>
    <col min="1" max="1" width="16.453125" style="29" customWidth="1"/>
    <col min="2" max="2" width="93.54296875" style="29" bestFit="1" customWidth="1"/>
    <col min="3" max="3" width="19.453125" style="29" bestFit="1" customWidth="1"/>
    <col min="4" max="4" width="28.54296875" style="6" customWidth="1"/>
    <col min="5" max="16384" width="8.7265625" style="29"/>
  </cols>
  <sheetData>
    <row r="1" spans="1:4" ht="20" x14ac:dyDescent="0.4">
      <c r="A1" s="27" t="s">
        <v>38</v>
      </c>
      <c r="B1" s="28"/>
      <c r="C1" s="28"/>
    </row>
    <row r="2" spans="1:4" ht="17.5" x14ac:dyDescent="0.35">
      <c r="A2" s="30" t="s">
        <v>44</v>
      </c>
      <c r="B2" s="28"/>
      <c r="C2" s="28"/>
    </row>
    <row r="3" spans="1:4" ht="17.5" x14ac:dyDescent="0.35">
      <c r="A3" s="30" t="s">
        <v>50</v>
      </c>
      <c r="B3" s="28"/>
      <c r="C3" s="28"/>
    </row>
    <row r="4" spans="1:4" x14ac:dyDescent="0.35">
      <c r="A4" s="63" t="s">
        <v>53</v>
      </c>
      <c r="B4" s="28"/>
      <c r="C4" s="28"/>
    </row>
    <row r="5" spans="1:4" s="30" customFormat="1" ht="25.15" customHeight="1" x14ac:dyDescent="0.35">
      <c r="A5" s="23" t="s">
        <v>39</v>
      </c>
      <c r="B5" s="23" t="s">
        <v>40</v>
      </c>
      <c r="C5" s="23" t="s">
        <v>51</v>
      </c>
      <c r="D5" s="31" t="s">
        <v>91</v>
      </c>
    </row>
    <row r="6" spans="1:4" x14ac:dyDescent="0.35">
      <c r="A6" s="5" t="s">
        <v>45</v>
      </c>
      <c r="B6" s="32" t="s">
        <v>161</v>
      </c>
      <c r="C6" s="5" t="s">
        <v>52</v>
      </c>
    </row>
    <row r="7" spans="1:4" ht="62" x14ac:dyDescent="0.35">
      <c r="A7" s="33" t="s">
        <v>89</v>
      </c>
      <c r="B7" s="34" t="s">
        <v>90</v>
      </c>
      <c r="C7" s="33" t="s">
        <v>52</v>
      </c>
      <c r="D7" s="35" t="s">
        <v>106</v>
      </c>
    </row>
    <row r="8" spans="1:4" ht="46.5" x14ac:dyDescent="0.35">
      <c r="A8" s="33" t="s">
        <v>92</v>
      </c>
      <c r="B8" s="34" t="s">
        <v>93</v>
      </c>
      <c r="C8" s="33" t="s">
        <v>52</v>
      </c>
      <c r="D8" s="35" t="s">
        <v>102</v>
      </c>
    </row>
    <row r="9" spans="1:4" ht="46.5" x14ac:dyDescent="0.35">
      <c r="A9" s="33" t="s">
        <v>94</v>
      </c>
      <c r="B9" s="34" t="s">
        <v>95</v>
      </c>
      <c r="C9" s="34" t="s">
        <v>104</v>
      </c>
      <c r="D9" s="35" t="s">
        <v>103</v>
      </c>
    </row>
    <row r="10" spans="1:4" ht="46.5" x14ac:dyDescent="0.35">
      <c r="A10" s="33" t="s">
        <v>96</v>
      </c>
      <c r="B10" s="34" t="s">
        <v>97</v>
      </c>
      <c r="C10" s="33" t="s">
        <v>52</v>
      </c>
      <c r="D10" s="35" t="s">
        <v>105</v>
      </c>
    </row>
    <row r="11" spans="1:4" ht="31" x14ac:dyDescent="0.35">
      <c r="A11" s="33" t="s">
        <v>98</v>
      </c>
      <c r="B11" s="34" t="s">
        <v>110</v>
      </c>
      <c r="C11" s="6" t="s">
        <v>116</v>
      </c>
      <c r="D11" s="35" t="s">
        <v>111</v>
      </c>
    </row>
    <row r="12" spans="1:4" ht="62" x14ac:dyDescent="0.35">
      <c r="A12" s="33" t="s">
        <v>99</v>
      </c>
      <c r="B12" s="36" t="s">
        <v>162</v>
      </c>
      <c r="C12" s="6" t="s">
        <v>52</v>
      </c>
      <c r="D12" s="36" t="s">
        <v>112</v>
      </c>
    </row>
    <row r="13" spans="1:4" ht="62" x14ac:dyDescent="0.35">
      <c r="A13" s="33" t="s">
        <v>100</v>
      </c>
      <c r="B13" s="34" t="s">
        <v>101</v>
      </c>
      <c r="C13" s="6" t="s">
        <v>117</v>
      </c>
      <c r="D13" s="35" t="s">
        <v>113</v>
      </c>
    </row>
  </sheetData>
  <hyperlinks>
    <hyperlink ref="D7" r:id="rId1" xr:uid="{00000000-0004-0000-0200-000000000000}"/>
    <hyperlink ref="D8" r:id="rId2" display="https://www.iso.org/standard/70907.html" xr:uid="{00000000-0004-0000-0200-000001000000}"/>
    <hyperlink ref="D9" r:id="rId3" display="https://www.who.int/standards/classifications/classification-of-diseases/emergency-use-icd-codes-for-covid-19-disease-outbreak" xr:uid="{00000000-0004-0000-0200-000002000000}"/>
    <hyperlink ref="D10" r:id="rId4" xr:uid="{00000000-0004-0000-0200-000003000000}"/>
    <hyperlink ref="D11" r:id="rId5" xr:uid="{00000000-0004-0000-0200-000004000000}"/>
    <hyperlink ref="D13" r:id="rId6" xr:uid="{00000000-0004-0000-0200-000005000000}"/>
    <hyperlink ref="A4" location="Contents!A1" display="Back to table of contents" xr:uid="{00000000-0004-0000-0200-000006000000}"/>
  </hyperlinks>
  <pageMargins left="0.7" right="0.7" top="0.75" bottom="0.75" header="0.3" footer="0.3"/>
  <pageSetup paperSize="9" orientation="portrait" r:id="rId7"/>
  <tableParts count="1"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4"/>
  <sheetViews>
    <sheetView zoomScaleNormal="100" workbookViewId="0"/>
  </sheetViews>
  <sheetFormatPr defaultColWidth="9.26953125" defaultRowHeight="15.5" x14ac:dyDescent="0.35"/>
  <cols>
    <col min="1" max="3" width="15.7265625" style="5" customWidth="1"/>
    <col min="4" max="12" width="9.7265625" style="5" customWidth="1"/>
    <col min="13" max="23" width="9.26953125" style="5"/>
    <col min="24" max="16384" width="9.26953125" style="10"/>
  </cols>
  <sheetData>
    <row r="1" spans="1:23" s="5" customFormat="1" x14ac:dyDescent="0.35">
      <c r="A1" s="48" t="s">
        <v>163</v>
      </c>
    </row>
    <row r="2" spans="1:23" s="5" customFormat="1" x14ac:dyDescent="0.35">
      <c r="A2" s="6" t="s">
        <v>59</v>
      </c>
    </row>
    <row r="3" spans="1:23" s="5" customFormat="1" x14ac:dyDescent="0.35">
      <c r="A3" s="6" t="s">
        <v>60</v>
      </c>
    </row>
    <row r="4" spans="1:23" s="5" customFormat="1" ht="30" customHeight="1" x14ac:dyDescent="0.35">
      <c r="A4" s="63" t="s">
        <v>53</v>
      </c>
    </row>
    <row r="5" spans="1:23" ht="42" customHeight="1" x14ac:dyDescent="0.35">
      <c r="A5" s="22" t="s">
        <v>151</v>
      </c>
      <c r="B5" s="23"/>
      <c r="E5" s="24"/>
      <c r="F5" s="24"/>
    </row>
    <row r="6" spans="1:23" ht="47.15" customHeight="1" x14ac:dyDescent="0.35">
      <c r="A6" s="46" t="s">
        <v>63</v>
      </c>
      <c r="B6" s="47" t="s">
        <v>57</v>
      </c>
      <c r="C6" s="47" t="s">
        <v>86</v>
      </c>
      <c r="D6" s="49" t="s">
        <v>61</v>
      </c>
      <c r="E6" s="45" t="s">
        <v>62</v>
      </c>
      <c r="F6" s="45" t="s">
        <v>64</v>
      </c>
      <c r="G6" s="45" t="s">
        <v>65</v>
      </c>
      <c r="H6" s="45" t="s">
        <v>132</v>
      </c>
      <c r="I6" s="45" t="s">
        <v>66</v>
      </c>
      <c r="J6" s="44" t="s">
        <v>67</v>
      </c>
      <c r="K6" s="44" t="s">
        <v>68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0" customHeight="1" x14ac:dyDescent="0.35">
      <c r="A7" s="14" t="s">
        <v>85</v>
      </c>
      <c r="B7" s="15">
        <v>1</v>
      </c>
      <c r="C7" s="16">
        <v>43829</v>
      </c>
      <c r="D7" s="50">
        <f>SUM(weekly_covid_deaths_by_age_persons[[#This Row],[&lt;1]:[85+]])</f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6.149999999999999" customHeight="1" x14ac:dyDescent="0.35">
      <c r="A8" s="14" t="s">
        <v>85</v>
      </c>
      <c r="B8" s="15">
        <v>2</v>
      </c>
      <c r="C8" s="16">
        <v>43836</v>
      </c>
      <c r="D8" s="50">
        <f>SUM(weekly_covid_deaths_by_age_persons[[#This Row],[&lt;1]:[85+]])</f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6.149999999999999" customHeight="1" x14ac:dyDescent="0.35">
      <c r="A9" s="14" t="s">
        <v>85</v>
      </c>
      <c r="B9" s="15">
        <v>3</v>
      </c>
      <c r="C9" s="16">
        <v>43843</v>
      </c>
      <c r="D9" s="50">
        <f>SUM(weekly_covid_deaths_by_age_persons[[#This Row],[&lt;1]:[85+]])</f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6.149999999999999" customHeight="1" x14ac:dyDescent="0.35">
      <c r="A10" s="14" t="s">
        <v>85</v>
      </c>
      <c r="B10" s="15">
        <v>4</v>
      </c>
      <c r="C10" s="16">
        <v>43850</v>
      </c>
      <c r="D10" s="50">
        <f>SUM(weekly_covid_deaths_by_age_persons[[#This Row],[&lt;1]:[85+]])</f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6.149999999999999" customHeight="1" x14ac:dyDescent="0.35">
      <c r="A11" s="14" t="s">
        <v>85</v>
      </c>
      <c r="B11" s="15">
        <v>5</v>
      </c>
      <c r="C11" s="16">
        <v>43857</v>
      </c>
      <c r="D11" s="50">
        <f>SUM(weekly_covid_deaths_by_age_persons[[#This Row],[&lt;1]:[85+]])</f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6.149999999999999" customHeight="1" x14ac:dyDescent="0.35">
      <c r="A12" s="14" t="s">
        <v>85</v>
      </c>
      <c r="B12" s="15">
        <v>6</v>
      </c>
      <c r="C12" s="16">
        <v>43864</v>
      </c>
      <c r="D12" s="50">
        <f>SUM(weekly_covid_deaths_by_age_persons[[#This Row],[&lt;1]:[85+]])</f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6.149999999999999" customHeight="1" x14ac:dyDescent="0.35">
      <c r="A13" s="14" t="s">
        <v>85</v>
      </c>
      <c r="B13" s="15">
        <v>7</v>
      </c>
      <c r="C13" s="16">
        <v>43871</v>
      </c>
      <c r="D13" s="50">
        <f>SUM(weekly_covid_deaths_by_age_persons[[#This Row],[&lt;1]:[85+]])</f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6.149999999999999" customHeight="1" x14ac:dyDescent="0.35">
      <c r="A14" s="14" t="s">
        <v>85</v>
      </c>
      <c r="B14" s="15">
        <v>8</v>
      </c>
      <c r="C14" s="16">
        <v>43878</v>
      </c>
      <c r="D14" s="50">
        <f>SUM(weekly_covid_deaths_by_age_persons[[#This Row],[&lt;1]:[85+]])</f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6.149999999999999" customHeight="1" x14ac:dyDescent="0.35">
      <c r="A15" s="14" t="s">
        <v>85</v>
      </c>
      <c r="B15" s="15">
        <v>9</v>
      </c>
      <c r="C15" s="16">
        <v>43885</v>
      </c>
      <c r="D15" s="50">
        <f>SUM(weekly_covid_deaths_by_age_persons[[#This Row],[&lt;1]:[85+]])</f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6.149999999999999" customHeight="1" x14ac:dyDescent="0.35">
      <c r="A16" s="14" t="s">
        <v>85</v>
      </c>
      <c r="B16" s="15">
        <v>10</v>
      </c>
      <c r="C16" s="16">
        <v>43892</v>
      </c>
      <c r="D16" s="50">
        <f>SUM(weekly_covid_deaths_by_age_persons[[#This Row],[&lt;1]:[85+]])</f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6.149999999999999" customHeight="1" x14ac:dyDescent="0.35">
      <c r="A17" s="14" t="s">
        <v>85</v>
      </c>
      <c r="B17" s="15">
        <v>11</v>
      </c>
      <c r="C17" s="16">
        <v>43899</v>
      </c>
      <c r="D17" s="50">
        <f>SUM(weekly_covid_deaths_by_age_persons[[#This Row],[&lt;1]:[85+]])</f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149999999999999" customHeight="1" x14ac:dyDescent="0.35">
      <c r="A18" s="14" t="s">
        <v>85</v>
      </c>
      <c r="B18" s="15">
        <v>12</v>
      </c>
      <c r="C18" s="16">
        <v>43906</v>
      </c>
      <c r="D18" s="50">
        <f>SUM(weekly_covid_deaths_by_age_persons[[#This Row],[&lt;1]:[85+]])</f>
        <v>11</v>
      </c>
      <c r="E18" s="2">
        <v>0</v>
      </c>
      <c r="F18" s="2">
        <v>0</v>
      </c>
      <c r="G18" s="2">
        <v>0</v>
      </c>
      <c r="H18" s="2">
        <v>1</v>
      </c>
      <c r="I18" s="2">
        <v>5</v>
      </c>
      <c r="J18" s="2">
        <v>3</v>
      </c>
      <c r="K18" s="2">
        <v>2</v>
      </c>
      <c r="L18" s="2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149999999999999" customHeight="1" x14ac:dyDescent="0.35">
      <c r="A19" s="14" t="s">
        <v>85</v>
      </c>
      <c r="B19" s="15">
        <v>13</v>
      </c>
      <c r="C19" s="16">
        <v>43913</v>
      </c>
      <c r="D19" s="50">
        <f>SUM(weekly_covid_deaths_by_age_persons[[#This Row],[&lt;1]:[85+]])</f>
        <v>62</v>
      </c>
      <c r="E19" s="2">
        <v>0</v>
      </c>
      <c r="F19" s="2">
        <v>0</v>
      </c>
      <c r="G19" s="2">
        <v>0</v>
      </c>
      <c r="H19" s="2">
        <v>12</v>
      </c>
      <c r="I19" s="2">
        <v>11</v>
      </c>
      <c r="J19" s="2">
        <v>24</v>
      </c>
      <c r="K19" s="2">
        <v>15</v>
      </c>
      <c r="L19" s="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6.149999999999999" customHeight="1" x14ac:dyDescent="0.35">
      <c r="A20" s="14" t="s">
        <v>85</v>
      </c>
      <c r="B20" s="15">
        <v>14</v>
      </c>
      <c r="C20" s="16">
        <v>43920</v>
      </c>
      <c r="D20" s="50">
        <f>SUM(weekly_covid_deaths_by_age_persons[[#This Row],[&lt;1]:[85+]])</f>
        <v>282</v>
      </c>
      <c r="E20" s="2">
        <v>0</v>
      </c>
      <c r="F20" s="2">
        <v>0</v>
      </c>
      <c r="G20" s="2">
        <v>4</v>
      </c>
      <c r="H20" s="2">
        <v>30</v>
      </c>
      <c r="I20" s="2">
        <v>67</v>
      </c>
      <c r="J20" s="2">
        <v>107</v>
      </c>
      <c r="K20" s="2">
        <v>74</v>
      </c>
      <c r="L20" s="1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149999999999999" customHeight="1" x14ac:dyDescent="0.35">
      <c r="A21" s="14" t="s">
        <v>85</v>
      </c>
      <c r="B21" s="15">
        <v>15</v>
      </c>
      <c r="C21" s="16">
        <v>43927</v>
      </c>
      <c r="D21" s="50">
        <f>SUM(weekly_covid_deaths_by_age_persons[[#This Row],[&lt;1]:[85+]])</f>
        <v>609</v>
      </c>
      <c r="E21" s="2">
        <v>0</v>
      </c>
      <c r="F21" s="2">
        <v>0</v>
      </c>
      <c r="G21" s="2">
        <v>5</v>
      </c>
      <c r="H21" s="2">
        <v>63</v>
      </c>
      <c r="I21" s="2">
        <v>100</v>
      </c>
      <c r="J21" s="2">
        <v>228</v>
      </c>
      <c r="K21" s="2">
        <v>213</v>
      </c>
      <c r="L21" s="1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6.149999999999999" customHeight="1" x14ac:dyDescent="0.35">
      <c r="A22" s="14" t="s">
        <v>85</v>
      </c>
      <c r="B22" s="15">
        <v>16</v>
      </c>
      <c r="C22" s="16">
        <v>43934</v>
      </c>
      <c r="D22" s="50">
        <f>SUM(weekly_covid_deaths_by_age_persons[[#This Row],[&lt;1]:[85+]])</f>
        <v>650</v>
      </c>
      <c r="E22" s="2">
        <v>0</v>
      </c>
      <c r="F22" s="2">
        <v>0</v>
      </c>
      <c r="G22" s="2">
        <v>2</v>
      </c>
      <c r="H22" s="2">
        <v>47</v>
      </c>
      <c r="I22" s="2">
        <v>81</v>
      </c>
      <c r="J22" s="2">
        <v>222</v>
      </c>
      <c r="K22" s="2">
        <v>298</v>
      </c>
      <c r="L22" s="1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6.149999999999999" customHeight="1" x14ac:dyDescent="0.35">
      <c r="A23" s="14" t="s">
        <v>85</v>
      </c>
      <c r="B23" s="15">
        <v>17</v>
      </c>
      <c r="C23" s="16">
        <v>43941</v>
      </c>
      <c r="D23" s="50">
        <f>SUM(weekly_covid_deaths_by_age_persons[[#This Row],[&lt;1]:[85+]])</f>
        <v>663</v>
      </c>
      <c r="E23" s="2">
        <v>0</v>
      </c>
      <c r="F23" s="2">
        <v>0</v>
      </c>
      <c r="G23" s="2">
        <v>7</v>
      </c>
      <c r="H23" s="2">
        <v>55</v>
      </c>
      <c r="I23" s="2">
        <v>100</v>
      </c>
      <c r="J23" s="2">
        <v>227</v>
      </c>
      <c r="K23" s="2">
        <v>274</v>
      </c>
      <c r="L23" s="1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6.149999999999999" customHeight="1" x14ac:dyDescent="0.35">
      <c r="A24" s="14" t="s">
        <v>85</v>
      </c>
      <c r="B24" s="15">
        <v>18</v>
      </c>
      <c r="C24" s="16">
        <v>43948</v>
      </c>
      <c r="D24" s="51">
        <f>SUM(weekly_covid_deaths_by_age_persons[[#This Row],[&lt;1]:[85+]])</f>
        <v>527</v>
      </c>
      <c r="E24" s="2">
        <v>0</v>
      </c>
      <c r="F24" s="2">
        <v>0</v>
      </c>
      <c r="G24" s="2">
        <v>2</v>
      </c>
      <c r="H24" s="2">
        <v>38</v>
      </c>
      <c r="I24" s="2">
        <v>74</v>
      </c>
      <c r="J24" s="2">
        <v>144</v>
      </c>
      <c r="K24" s="2">
        <v>269</v>
      </c>
      <c r="L24" s="1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6.149999999999999" customHeight="1" x14ac:dyDescent="0.35">
      <c r="A25" s="14" t="s">
        <v>85</v>
      </c>
      <c r="B25" s="15">
        <v>19</v>
      </c>
      <c r="C25" s="16">
        <v>43955</v>
      </c>
      <c r="D25" s="51">
        <f>SUM(weekly_covid_deaths_by_age_persons[[#This Row],[&lt;1]:[85+]])</f>
        <v>414</v>
      </c>
      <c r="E25" s="2">
        <v>0</v>
      </c>
      <c r="F25" s="2">
        <v>0</v>
      </c>
      <c r="G25" s="2">
        <v>2</v>
      </c>
      <c r="H25" s="2">
        <v>35</v>
      </c>
      <c r="I25" s="2">
        <v>50</v>
      </c>
      <c r="J25" s="2">
        <v>144</v>
      </c>
      <c r="K25" s="2">
        <v>183</v>
      </c>
      <c r="L25" s="1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6.149999999999999" customHeight="1" x14ac:dyDescent="0.35">
      <c r="A26" s="14" t="s">
        <v>85</v>
      </c>
      <c r="B26" s="15">
        <v>20</v>
      </c>
      <c r="C26" s="16">
        <v>43962</v>
      </c>
      <c r="D26" s="51">
        <f>SUM(weekly_covid_deaths_by_age_persons[[#This Row],[&lt;1]:[85+]])</f>
        <v>336</v>
      </c>
      <c r="E26" s="2">
        <v>0</v>
      </c>
      <c r="F26" s="2">
        <v>0</v>
      </c>
      <c r="G26" s="2">
        <v>2</v>
      </c>
      <c r="H26" s="2">
        <v>25</v>
      </c>
      <c r="I26" s="2">
        <v>47</v>
      </c>
      <c r="J26" s="2">
        <v>93</v>
      </c>
      <c r="K26" s="2">
        <v>169</v>
      </c>
      <c r="L26" s="1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6.149999999999999" customHeight="1" x14ac:dyDescent="0.35">
      <c r="A27" s="14" t="s">
        <v>85</v>
      </c>
      <c r="B27" s="15">
        <v>21</v>
      </c>
      <c r="C27" s="16">
        <v>43969</v>
      </c>
      <c r="D27" s="51">
        <f>SUM(weekly_covid_deaths_by_age_persons[[#This Row],[&lt;1]:[85+]])</f>
        <v>230</v>
      </c>
      <c r="E27" s="2">
        <v>0</v>
      </c>
      <c r="F27" s="2">
        <v>0</v>
      </c>
      <c r="G27" s="2">
        <v>0</v>
      </c>
      <c r="H27" s="2">
        <v>12</v>
      </c>
      <c r="I27" s="2">
        <v>23</v>
      </c>
      <c r="J27" s="2">
        <v>71</v>
      </c>
      <c r="K27" s="2">
        <v>124</v>
      </c>
      <c r="L27" s="1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6.149999999999999" customHeight="1" x14ac:dyDescent="0.35">
      <c r="A28" s="14" t="s">
        <v>85</v>
      </c>
      <c r="B28" s="15">
        <v>22</v>
      </c>
      <c r="C28" s="16">
        <v>43976</v>
      </c>
      <c r="D28" s="52">
        <f>SUM(weekly_covid_deaths_by_age_persons[[#This Row],[&lt;1]:[85+]])</f>
        <v>131</v>
      </c>
      <c r="E28" s="2">
        <v>0</v>
      </c>
      <c r="F28" s="2">
        <v>0</v>
      </c>
      <c r="G28" s="2">
        <v>1</v>
      </c>
      <c r="H28" s="2">
        <v>9</v>
      </c>
      <c r="I28" s="2">
        <v>16</v>
      </c>
      <c r="J28" s="2">
        <v>45</v>
      </c>
      <c r="K28" s="2">
        <v>60</v>
      </c>
      <c r="L28" s="1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6.149999999999999" customHeight="1" x14ac:dyDescent="0.35">
      <c r="A29" s="14" t="s">
        <v>85</v>
      </c>
      <c r="B29" s="15">
        <v>23</v>
      </c>
      <c r="C29" s="16">
        <v>43983</v>
      </c>
      <c r="D29" s="51">
        <f>SUM(weekly_covid_deaths_by_age_persons[[#This Row],[&lt;1]:[85+]])</f>
        <v>91</v>
      </c>
      <c r="E29" s="2">
        <v>0</v>
      </c>
      <c r="F29" s="2">
        <v>0</v>
      </c>
      <c r="G29" s="2">
        <v>3</v>
      </c>
      <c r="H29" s="2">
        <v>9</v>
      </c>
      <c r="I29" s="2">
        <v>10</v>
      </c>
      <c r="J29" s="2">
        <v>26</v>
      </c>
      <c r="K29" s="2">
        <v>43</v>
      </c>
      <c r="L29" s="1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6.149999999999999" customHeight="1" x14ac:dyDescent="0.35">
      <c r="A30" s="14" t="s">
        <v>85</v>
      </c>
      <c r="B30" s="15">
        <v>24</v>
      </c>
      <c r="C30" s="16">
        <v>43990</v>
      </c>
      <c r="D30" s="51">
        <f>SUM(weekly_covid_deaths_by_age_persons[[#This Row],[&lt;1]:[85+]])</f>
        <v>67</v>
      </c>
      <c r="E30" s="2">
        <v>0</v>
      </c>
      <c r="F30" s="2">
        <v>0</v>
      </c>
      <c r="G30" s="2">
        <v>1</v>
      </c>
      <c r="H30" s="2">
        <v>2</v>
      </c>
      <c r="I30" s="2">
        <v>5</v>
      </c>
      <c r="J30" s="2">
        <v>24</v>
      </c>
      <c r="K30" s="2">
        <v>35</v>
      </c>
      <c r="L30" s="1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6.149999999999999" customHeight="1" x14ac:dyDescent="0.35">
      <c r="A31" s="14" t="s">
        <v>85</v>
      </c>
      <c r="B31" s="15">
        <v>25</v>
      </c>
      <c r="C31" s="16">
        <v>43997</v>
      </c>
      <c r="D31" s="51">
        <f>SUM(weekly_covid_deaths_by_age_persons[[#This Row],[&lt;1]:[85+]])</f>
        <v>49</v>
      </c>
      <c r="E31" s="2">
        <v>0</v>
      </c>
      <c r="F31" s="2">
        <v>0</v>
      </c>
      <c r="G31" s="2">
        <v>0</v>
      </c>
      <c r="H31" s="2">
        <v>3</v>
      </c>
      <c r="I31" s="2">
        <v>4</v>
      </c>
      <c r="J31" s="2">
        <v>16</v>
      </c>
      <c r="K31" s="2">
        <v>26</v>
      </c>
      <c r="L31" s="1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6.149999999999999" customHeight="1" x14ac:dyDescent="0.35">
      <c r="A32" s="14" t="s">
        <v>85</v>
      </c>
      <c r="B32" s="15">
        <v>26</v>
      </c>
      <c r="C32" s="16">
        <v>44004</v>
      </c>
      <c r="D32" s="50">
        <f>SUM(weekly_covid_deaths_by_age_persons[[#This Row],[&lt;1]:[85+]])</f>
        <v>36</v>
      </c>
      <c r="E32" s="2">
        <v>0</v>
      </c>
      <c r="F32" s="2">
        <v>0</v>
      </c>
      <c r="G32" s="2">
        <v>0</v>
      </c>
      <c r="H32" s="2">
        <v>3</v>
      </c>
      <c r="I32" s="2">
        <v>4</v>
      </c>
      <c r="J32" s="2">
        <v>13</v>
      </c>
      <c r="K32" s="2">
        <v>16</v>
      </c>
      <c r="L32" s="1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6.149999999999999" customHeight="1" x14ac:dyDescent="0.35">
      <c r="A33" s="14" t="s">
        <v>85</v>
      </c>
      <c r="B33" s="15">
        <v>27</v>
      </c>
      <c r="C33" s="16">
        <v>44011</v>
      </c>
      <c r="D33" s="51">
        <f>SUM(weekly_covid_deaths_by_age_persons[[#This Row],[&lt;1]:[85+]])</f>
        <v>19</v>
      </c>
      <c r="E33" s="2">
        <v>0</v>
      </c>
      <c r="F33" s="2">
        <v>0</v>
      </c>
      <c r="G33" s="2">
        <v>1</v>
      </c>
      <c r="H33" s="2">
        <v>2</v>
      </c>
      <c r="I33" s="2">
        <v>1</v>
      </c>
      <c r="J33" s="2">
        <v>7</v>
      </c>
      <c r="K33" s="2">
        <v>8</v>
      </c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6.149999999999999" customHeight="1" x14ac:dyDescent="0.35">
      <c r="A34" s="14" t="s">
        <v>85</v>
      </c>
      <c r="B34" s="15">
        <v>28</v>
      </c>
      <c r="C34" s="16">
        <v>44018</v>
      </c>
      <c r="D34" s="51">
        <f>SUM(weekly_covid_deaths_by_age_persons[[#This Row],[&lt;1]:[85+]])</f>
        <v>13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v>4</v>
      </c>
      <c r="K34" s="2">
        <v>7</v>
      </c>
      <c r="L34" s="1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6.149999999999999" customHeight="1" x14ac:dyDescent="0.35">
      <c r="A35" s="14" t="s">
        <v>85</v>
      </c>
      <c r="B35" s="15">
        <v>29</v>
      </c>
      <c r="C35" s="16">
        <v>44025</v>
      </c>
      <c r="D35" s="50">
        <f>SUM(weekly_covid_deaths_by_age_persons[[#This Row],[&lt;1]:[85+]])</f>
        <v>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4</v>
      </c>
      <c r="K35" s="2">
        <v>2</v>
      </c>
      <c r="L35" s="1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6.149999999999999" customHeight="1" x14ac:dyDescent="0.35">
      <c r="A36" s="14" t="s">
        <v>85</v>
      </c>
      <c r="B36" s="15">
        <v>30</v>
      </c>
      <c r="C36" s="16">
        <v>44032</v>
      </c>
      <c r="D36" s="50">
        <f>SUM(weekly_covid_deaths_by_age_persons[[#This Row],[&lt;1]:[85+]])</f>
        <v>8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5</v>
      </c>
      <c r="K36" s="2">
        <v>2</v>
      </c>
      <c r="L36" s="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6.149999999999999" customHeight="1" x14ac:dyDescent="0.35">
      <c r="A37" s="14" t="s">
        <v>85</v>
      </c>
      <c r="B37" s="15">
        <v>31</v>
      </c>
      <c r="C37" s="16">
        <v>44039</v>
      </c>
      <c r="D37" s="51">
        <f>SUM(weekly_covid_deaths_by_age_persons[[#This Row],[&lt;1]:[85+]])</f>
        <v>6</v>
      </c>
      <c r="E37" s="2">
        <v>0</v>
      </c>
      <c r="F37" s="2">
        <v>0</v>
      </c>
      <c r="G37" s="2">
        <v>0</v>
      </c>
      <c r="H37" s="2">
        <v>2</v>
      </c>
      <c r="I37" s="2">
        <v>1</v>
      </c>
      <c r="J37" s="2">
        <v>2</v>
      </c>
      <c r="K37" s="2">
        <v>1</v>
      </c>
      <c r="L37" s="1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6.149999999999999" customHeight="1" x14ac:dyDescent="0.35">
      <c r="A38" s="14" t="s">
        <v>85</v>
      </c>
      <c r="B38" s="15">
        <v>32</v>
      </c>
      <c r="C38" s="16">
        <v>44046</v>
      </c>
      <c r="D38" s="51">
        <f>SUM(weekly_covid_deaths_by_age_persons[[#This Row],[&lt;1]:[85+]])</f>
        <v>5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2</v>
      </c>
      <c r="K38" s="2">
        <v>2</v>
      </c>
      <c r="L38" s="1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6.149999999999999" customHeight="1" x14ac:dyDescent="0.35">
      <c r="A39" s="14" t="s">
        <v>85</v>
      </c>
      <c r="B39" s="15">
        <v>33</v>
      </c>
      <c r="C39" s="16">
        <v>44053</v>
      </c>
      <c r="D39" s="51">
        <f>SUM(weekly_covid_deaths_by_age_persons[[#This Row],[&lt;1]:[85+]])</f>
        <v>3</v>
      </c>
      <c r="E39" s="2">
        <v>0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1</v>
      </c>
      <c r="L39" s="1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6.149999999999999" customHeight="1" x14ac:dyDescent="0.35">
      <c r="A40" s="14" t="s">
        <v>85</v>
      </c>
      <c r="B40" s="15">
        <v>34</v>
      </c>
      <c r="C40" s="16">
        <v>44060</v>
      </c>
      <c r="D40" s="51">
        <f>SUM(weekly_covid_deaths_by_age_persons[[#This Row],[&lt;1]:[85+]])</f>
        <v>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3</v>
      </c>
      <c r="L40" s="1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6.149999999999999" customHeight="1" x14ac:dyDescent="0.35">
      <c r="A41" s="14" t="s">
        <v>85</v>
      </c>
      <c r="B41" s="15">
        <v>35</v>
      </c>
      <c r="C41" s="16">
        <v>44067</v>
      </c>
      <c r="D41" s="51">
        <f>SUM(weekly_covid_deaths_by_age_persons[[#This Row],[&lt;1]:[85+]])</f>
        <v>7</v>
      </c>
      <c r="E41" s="2">
        <v>0</v>
      </c>
      <c r="F41" s="2">
        <v>0</v>
      </c>
      <c r="G41" s="2">
        <v>0</v>
      </c>
      <c r="H41" s="2">
        <v>1</v>
      </c>
      <c r="I41" s="2">
        <v>1</v>
      </c>
      <c r="J41" s="2">
        <v>1</v>
      </c>
      <c r="K41" s="2">
        <v>4</v>
      </c>
      <c r="L41" s="1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6.149999999999999" customHeight="1" x14ac:dyDescent="0.35">
      <c r="A42" s="14" t="s">
        <v>85</v>
      </c>
      <c r="B42" s="15">
        <v>36</v>
      </c>
      <c r="C42" s="16">
        <v>44074</v>
      </c>
      <c r="D42" s="51">
        <f>SUM(weekly_covid_deaths_by_age_persons[[#This Row],[&lt;1]:[85+]])</f>
        <v>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2</v>
      </c>
      <c r="L42" s="19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6.149999999999999" customHeight="1" x14ac:dyDescent="0.35">
      <c r="A43" s="14" t="s">
        <v>85</v>
      </c>
      <c r="B43" s="15">
        <v>37</v>
      </c>
      <c r="C43" s="16">
        <v>44081</v>
      </c>
      <c r="D43" s="51">
        <f>SUM(weekly_covid_deaths_by_age_persons[[#This Row],[&lt;1]:[85+]])</f>
        <v>5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3</v>
      </c>
      <c r="K43" s="2">
        <v>0</v>
      </c>
      <c r="L43" s="1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6.149999999999999" customHeight="1" x14ac:dyDescent="0.35">
      <c r="A44" s="14" t="s">
        <v>85</v>
      </c>
      <c r="B44" s="15">
        <v>38</v>
      </c>
      <c r="C44" s="16">
        <v>44088</v>
      </c>
      <c r="D44" s="52">
        <f>SUM(weekly_covid_deaths_by_age_persons[[#This Row],[&lt;1]:[85+]])</f>
        <v>11</v>
      </c>
      <c r="E44" s="2">
        <v>0</v>
      </c>
      <c r="F44" s="2">
        <v>0</v>
      </c>
      <c r="G44" s="2">
        <v>0</v>
      </c>
      <c r="H44" s="2">
        <v>2</v>
      </c>
      <c r="I44" s="2">
        <v>0</v>
      </c>
      <c r="J44" s="2">
        <v>2</v>
      </c>
      <c r="K44" s="2">
        <v>7</v>
      </c>
      <c r="L44" s="19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.149999999999999" customHeight="1" x14ac:dyDescent="0.35">
      <c r="A45" s="14" t="s">
        <v>85</v>
      </c>
      <c r="B45" s="15">
        <v>39</v>
      </c>
      <c r="C45" s="16">
        <v>44095</v>
      </c>
      <c r="D45" s="51">
        <f>SUM(weekly_covid_deaths_by_age_persons[[#This Row],[&lt;1]:[85+]])</f>
        <v>10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4</v>
      </c>
      <c r="K45" s="2">
        <v>5</v>
      </c>
      <c r="L45" s="1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6.149999999999999" customHeight="1" x14ac:dyDescent="0.35">
      <c r="A46" s="14" t="s">
        <v>85</v>
      </c>
      <c r="B46" s="15">
        <v>40</v>
      </c>
      <c r="C46" s="16">
        <v>44102</v>
      </c>
      <c r="D46" s="51">
        <f>SUM(weekly_covid_deaths_by_age_persons[[#This Row],[&lt;1]:[85+]])</f>
        <v>20</v>
      </c>
      <c r="E46" s="2">
        <v>0</v>
      </c>
      <c r="F46" s="2">
        <v>0</v>
      </c>
      <c r="G46" s="2">
        <v>0</v>
      </c>
      <c r="H46" s="2">
        <v>1</v>
      </c>
      <c r="I46" s="2">
        <v>3</v>
      </c>
      <c r="J46" s="2">
        <v>12</v>
      </c>
      <c r="K46" s="2">
        <v>4</v>
      </c>
      <c r="L46" s="1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6.149999999999999" customHeight="1" x14ac:dyDescent="0.35">
      <c r="A47" s="14" t="s">
        <v>85</v>
      </c>
      <c r="B47" s="15">
        <v>41</v>
      </c>
      <c r="C47" s="16">
        <v>44109</v>
      </c>
      <c r="D47" s="51">
        <f>SUM(weekly_covid_deaths_by_age_persons[[#This Row],[&lt;1]:[85+]])</f>
        <v>25</v>
      </c>
      <c r="E47" s="2">
        <v>0</v>
      </c>
      <c r="F47" s="2">
        <v>0</v>
      </c>
      <c r="G47" s="2">
        <v>1</v>
      </c>
      <c r="H47" s="2">
        <v>4</v>
      </c>
      <c r="I47" s="2">
        <v>4</v>
      </c>
      <c r="J47" s="2">
        <v>9</v>
      </c>
      <c r="K47" s="2">
        <v>7</v>
      </c>
      <c r="L47" s="1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6.149999999999999" customHeight="1" x14ac:dyDescent="0.35">
      <c r="A48" s="14" t="s">
        <v>85</v>
      </c>
      <c r="B48" s="15">
        <v>42</v>
      </c>
      <c r="C48" s="16">
        <v>44116</v>
      </c>
      <c r="D48" s="51">
        <f>SUM(weekly_covid_deaths_by_age_persons[[#This Row],[&lt;1]:[85+]])</f>
        <v>76</v>
      </c>
      <c r="E48" s="2">
        <v>0</v>
      </c>
      <c r="F48" s="2">
        <v>0</v>
      </c>
      <c r="G48" s="2">
        <v>2</v>
      </c>
      <c r="H48" s="2">
        <v>9</v>
      </c>
      <c r="I48" s="2">
        <v>9</v>
      </c>
      <c r="J48" s="2">
        <v>39</v>
      </c>
      <c r="K48" s="2">
        <v>17</v>
      </c>
      <c r="L48" s="19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6.149999999999999" customHeight="1" x14ac:dyDescent="0.35">
      <c r="A49" s="14" t="s">
        <v>85</v>
      </c>
      <c r="B49" s="15">
        <v>43</v>
      </c>
      <c r="C49" s="16">
        <v>44123</v>
      </c>
      <c r="D49" s="51">
        <f>SUM(weekly_covid_deaths_by_age_persons[[#This Row],[&lt;1]:[85+]])</f>
        <v>107</v>
      </c>
      <c r="E49" s="2">
        <v>0</v>
      </c>
      <c r="F49" s="2">
        <v>0</v>
      </c>
      <c r="G49" s="2">
        <v>2</v>
      </c>
      <c r="H49" s="2">
        <v>15</v>
      </c>
      <c r="I49" s="2">
        <v>20</v>
      </c>
      <c r="J49" s="2">
        <v>42</v>
      </c>
      <c r="K49" s="2">
        <v>28</v>
      </c>
      <c r="L49" s="19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6.149999999999999" customHeight="1" x14ac:dyDescent="0.35">
      <c r="A50" s="14" t="s">
        <v>85</v>
      </c>
      <c r="B50" s="15">
        <v>44</v>
      </c>
      <c r="C50" s="16">
        <v>44130</v>
      </c>
      <c r="D50" s="52">
        <f>SUM(weekly_covid_deaths_by_age_persons[[#This Row],[&lt;1]:[85+]])</f>
        <v>168</v>
      </c>
      <c r="E50" s="2">
        <v>0</v>
      </c>
      <c r="F50" s="2">
        <v>0</v>
      </c>
      <c r="G50" s="2">
        <v>0</v>
      </c>
      <c r="H50" s="2">
        <v>13</v>
      </c>
      <c r="I50" s="2">
        <v>40</v>
      </c>
      <c r="J50" s="2">
        <v>58</v>
      </c>
      <c r="K50" s="2">
        <v>57</v>
      </c>
      <c r="L50" s="18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6.149999999999999" customHeight="1" x14ac:dyDescent="0.35">
      <c r="A51" s="14" t="s">
        <v>85</v>
      </c>
      <c r="B51" s="15">
        <v>45</v>
      </c>
      <c r="C51" s="16">
        <v>44137</v>
      </c>
      <c r="D51" s="51">
        <f>SUM(weekly_covid_deaths_by_age_persons[[#This Row],[&lt;1]:[85+]])</f>
        <v>209</v>
      </c>
      <c r="E51" s="2">
        <v>0</v>
      </c>
      <c r="F51" s="2">
        <v>0</v>
      </c>
      <c r="G51" s="2">
        <v>0</v>
      </c>
      <c r="H51" s="2">
        <v>21</v>
      </c>
      <c r="I51" s="2">
        <v>35</v>
      </c>
      <c r="J51" s="2">
        <v>72</v>
      </c>
      <c r="K51" s="2">
        <v>81</v>
      </c>
      <c r="L51" s="19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6.149999999999999" customHeight="1" x14ac:dyDescent="0.35">
      <c r="A52" s="14" t="s">
        <v>85</v>
      </c>
      <c r="B52" s="15">
        <v>46</v>
      </c>
      <c r="C52" s="16">
        <v>44144</v>
      </c>
      <c r="D52" s="50">
        <f>SUM(weekly_covid_deaths_by_age_persons[[#This Row],[&lt;1]:[85+]])</f>
        <v>280</v>
      </c>
      <c r="E52" s="2">
        <v>0</v>
      </c>
      <c r="F52" s="2">
        <v>0</v>
      </c>
      <c r="G52" s="2">
        <v>1</v>
      </c>
      <c r="H52" s="2">
        <v>33</v>
      </c>
      <c r="I52" s="2">
        <v>53</v>
      </c>
      <c r="J52" s="2">
        <v>99</v>
      </c>
      <c r="K52" s="2">
        <v>94</v>
      </c>
      <c r="L52" s="1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6.149999999999999" customHeight="1" x14ac:dyDescent="0.35">
      <c r="A53" s="14" t="s">
        <v>85</v>
      </c>
      <c r="B53" s="15">
        <v>47</v>
      </c>
      <c r="C53" s="16">
        <v>44151</v>
      </c>
      <c r="D53" s="52">
        <f>SUM(weekly_covid_deaths_by_age_persons[[#This Row],[&lt;1]:[85+]])</f>
        <v>249</v>
      </c>
      <c r="E53" s="2">
        <v>0</v>
      </c>
      <c r="F53" s="2">
        <v>0</v>
      </c>
      <c r="G53" s="2">
        <v>2</v>
      </c>
      <c r="H53" s="2">
        <v>31</v>
      </c>
      <c r="I53" s="2">
        <v>43</v>
      </c>
      <c r="J53" s="2">
        <v>68</v>
      </c>
      <c r="K53" s="2">
        <v>105</v>
      </c>
      <c r="L53" s="18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6.149999999999999" customHeight="1" x14ac:dyDescent="0.35">
      <c r="A54" s="14" t="s">
        <v>85</v>
      </c>
      <c r="B54" s="15">
        <v>48</v>
      </c>
      <c r="C54" s="16">
        <v>44158</v>
      </c>
      <c r="D54" s="52">
        <f>SUM(weekly_covid_deaths_by_age_persons[[#This Row],[&lt;1]:[85+]])</f>
        <v>252</v>
      </c>
      <c r="E54" s="2">
        <v>0</v>
      </c>
      <c r="F54" s="2">
        <v>0</v>
      </c>
      <c r="G54" s="2">
        <v>2</v>
      </c>
      <c r="H54" s="2">
        <v>34</v>
      </c>
      <c r="I54" s="2">
        <v>39</v>
      </c>
      <c r="J54" s="2">
        <v>82</v>
      </c>
      <c r="K54" s="2">
        <v>95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6.149999999999999" customHeight="1" x14ac:dyDescent="0.35">
      <c r="A55" s="14" t="s">
        <v>85</v>
      </c>
      <c r="B55" s="15">
        <v>49</v>
      </c>
      <c r="C55" s="16">
        <v>44165</v>
      </c>
      <c r="D55" s="52">
        <f>SUM(weekly_covid_deaths_by_age_persons[[#This Row],[&lt;1]:[85+]])</f>
        <v>233</v>
      </c>
      <c r="E55" s="2">
        <v>0</v>
      </c>
      <c r="F55" s="2">
        <v>0</v>
      </c>
      <c r="G55" s="2">
        <v>2</v>
      </c>
      <c r="H55" s="2">
        <v>20</v>
      </c>
      <c r="I55" s="2">
        <v>40</v>
      </c>
      <c r="J55" s="2">
        <v>77</v>
      </c>
      <c r="K55" s="2">
        <v>94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6.149999999999999" customHeight="1" x14ac:dyDescent="0.35">
      <c r="A56" s="14" t="s">
        <v>85</v>
      </c>
      <c r="B56" s="15">
        <v>50</v>
      </c>
      <c r="C56" s="16">
        <v>44172</v>
      </c>
      <c r="D56" s="52">
        <f>SUM(weekly_covid_deaths_by_age_persons[[#This Row],[&lt;1]:[85+]])</f>
        <v>227</v>
      </c>
      <c r="E56" s="2">
        <v>0</v>
      </c>
      <c r="F56" s="2">
        <v>0</v>
      </c>
      <c r="G56" s="2">
        <v>0</v>
      </c>
      <c r="H56" s="2">
        <v>24</v>
      </c>
      <c r="I56" s="2">
        <v>34</v>
      </c>
      <c r="J56" s="2">
        <v>83</v>
      </c>
      <c r="K56" s="2">
        <v>86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6.149999999999999" customHeight="1" x14ac:dyDescent="0.35">
      <c r="A57" s="14" t="s">
        <v>85</v>
      </c>
      <c r="B57" s="15">
        <v>51</v>
      </c>
      <c r="C57" s="16">
        <v>44179</v>
      </c>
      <c r="D57" s="52">
        <f>SUM(weekly_covid_deaths_by_age_persons[[#This Row],[&lt;1]:[85+]])</f>
        <v>208</v>
      </c>
      <c r="E57" s="2">
        <v>1</v>
      </c>
      <c r="F57" s="2">
        <v>0</v>
      </c>
      <c r="G57" s="2">
        <v>0</v>
      </c>
      <c r="H57" s="2">
        <v>14</v>
      </c>
      <c r="I57" s="2">
        <v>24</v>
      </c>
      <c r="J57" s="2">
        <v>70</v>
      </c>
      <c r="K57" s="2">
        <v>99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6.149999999999999" customHeight="1" x14ac:dyDescent="0.35">
      <c r="A58" s="14" t="s">
        <v>85</v>
      </c>
      <c r="B58" s="15">
        <v>52</v>
      </c>
      <c r="C58" s="16">
        <v>44186</v>
      </c>
      <c r="D58" s="52">
        <f>SUM(weekly_covid_deaths_by_age_persons[[#This Row],[&lt;1]:[85+]])</f>
        <v>203</v>
      </c>
      <c r="E58" s="2">
        <v>0</v>
      </c>
      <c r="F58" s="2">
        <v>0</v>
      </c>
      <c r="G58" s="2">
        <v>0</v>
      </c>
      <c r="H58" s="2">
        <v>19</v>
      </c>
      <c r="I58" s="2">
        <v>50</v>
      </c>
      <c r="J58" s="2">
        <v>58</v>
      </c>
      <c r="K58" s="2">
        <v>76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6.149999999999999" customHeight="1" x14ac:dyDescent="0.35">
      <c r="A59" s="14" t="s">
        <v>85</v>
      </c>
      <c r="B59" s="15">
        <v>53</v>
      </c>
      <c r="C59" s="16">
        <v>44193</v>
      </c>
      <c r="D59" s="52">
        <f>SUM(weekly_covid_deaths_by_age_persons[[#This Row],[&lt;1]:[85+]])</f>
        <v>187</v>
      </c>
      <c r="E59" s="52">
        <v>0</v>
      </c>
      <c r="F59" s="52">
        <v>0</v>
      </c>
      <c r="G59" s="52">
        <v>2</v>
      </c>
      <c r="H59" s="52">
        <v>14</v>
      </c>
      <c r="I59" s="52">
        <v>31</v>
      </c>
      <c r="J59" s="52">
        <v>60</v>
      </c>
      <c r="K59" s="52">
        <v>80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6.149999999999999" customHeight="1" x14ac:dyDescent="0.35">
      <c r="A60" s="5" t="s">
        <v>179</v>
      </c>
      <c r="B60" s="15" t="s">
        <v>179</v>
      </c>
      <c r="C60" s="15" t="s">
        <v>179</v>
      </c>
      <c r="D60" s="52">
        <f>SUBTOTAL(109,weekly_covid_deaths_by_age_persons[All ages])</f>
        <v>6702</v>
      </c>
      <c r="E60" s="52">
        <f>SUBTOTAL(109,weekly_covid_deaths_by_age_persons[&lt;1])</f>
        <v>1</v>
      </c>
      <c r="F60" s="52">
        <f>SUBTOTAL(109,weekly_covid_deaths_by_age_persons[1-14])</f>
        <v>0</v>
      </c>
      <c r="G60" s="52">
        <f>SUBTOTAL(109,weekly_covid_deaths_by_age_persons[15-44])</f>
        <v>44</v>
      </c>
      <c r="H60" s="52">
        <f>SUBTOTAL(109,weekly_covid_deaths_by_age_persons[45-64])</f>
        <v>606</v>
      </c>
      <c r="I60" s="52">
        <f>SUBTOTAL(109,weekly_covid_deaths_by_age_persons[65-74])</f>
        <v>1031</v>
      </c>
      <c r="J60" s="52">
        <f>SUBTOTAL(109,weekly_covid_deaths_by_age_persons[75-84])</f>
        <v>2252</v>
      </c>
      <c r="K60" s="52">
        <f>SUBTOTAL(109,weekly_covid_deaths_by_age_persons[85+])</f>
        <v>2768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2" spans="1:23" x14ac:dyDescent="0.35">
      <c r="A62" s="22" t="s">
        <v>152</v>
      </c>
      <c r="B62" s="23"/>
      <c r="E62" s="24"/>
      <c r="F62" s="24"/>
      <c r="W62" s="10"/>
    </row>
    <row r="63" spans="1:23" ht="31" x14ac:dyDescent="0.35">
      <c r="A63" s="46" t="s">
        <v>63</v>
      </c>
      <c r="B63" s="47" t="s">
        <v>57</v>
      </c>
      <c r="C63" s="47" t="s">
        <v>86</v>
      </c>
      <c r="D63" s="53" t="s">
        <v>61</v>
      </c>
      <c r="E63" s="45" t="s">
        <v>62</v>
      </c>
      <c r="F63" s="45" t="s">
        <v>64</v>
      </c>
      <c r="G63" s="45" t="s">
        <v>65</v>
      </c>
      <c r="H63" s="45" t="s">
        <v>132</v>
      </c>
      <c r="I63" s="45" t="s">
        <v>66</v>
      </c>
      <c r="J63" s="44" t="s">
        <v>67</v>
      </c>
      <c r="K63" s="44" t="s">
        <v>68</v>
      </c>
      <c r="L63" s="2"/>
    </row>
    <row r="64" spans="1:23" x14ac:dyDescent="0.35">
      <c r="A64" s="14" t="s">
        <v>85</v>
      </c>
      <c r="B64" s="15">
        <v>1</v>
      </c>
      <c r="C64" s="16">
        <v>43829</v>
      </c>
      <c r="D64" s="2">
        <f>SUM(weekly_covid_deaths_by_age_females[[#This Row],[&lt;1]:[85+]])</f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/>
    </row>
    <row r="65" spans="1:12" x14ac:dyDescent="0.35">
      <c r="A65" s="14" t="s">
        <v>85</v>
      </c>
      <c r="B65" s="15">
        <v>2</v>
      </c>
      <c r="C65" s="16">
        <v>43836</v>
      </c>
      <c r="D65" s="2">
        <f>SUM(weekly_covid_deaths_by_age_females[[#This Row],[&lt;1]:[85+]])</f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/>
    </row>
    <row r="66" spans="1:12" x14ac:dyDescent="0.35">
      <c r="A66" s="14" t="s">
        <v>85</v>
      </c>
      <c r="B66" s="15">
        <v>3</v>
      </c>
      <c r="C66" s="16">
        <v>43843</v>
      </c>
      <c r="D66" s="2">
        <f>SUM(weekly_covid_deaths_by_age_females[[#This Row],[&lt;1]:[85+]])</f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/>
    </row>
    <row r="67" spans="1:12" x14ac:dyDescent="0.35">
      <c r="A67" s="14" t="s">
        <v>85</v>
      </c>
      <c r="B67" s="15">
        <v>4</v>
      </c>
      <c r="C67" s="16">
        <v>43850</v>
      </c>
      <c r="D67" s="2">
        <f>SUM(weekly_covid_deaths_by_age_females[[#This Row],[&lt;1]:[85+]])</f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/>
    </row>
    <row r="68" spans="1:12" x14ac:dyDescent="0.35">
      <c r="A68" s="14" t="s">
        <v>85</v>
      </c>
      <c r="B68" s="15">
        <v>5</v>
      </c>
      <c r="C68" s="16">
        <v>43857</v>
      </c>
      <c r="D68" s="2">
        <f>SUM(weekly_covid_deaths_by_age_females[[#This Row],[&lt;1]:[85+]])</f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/>
    </row>
    <row r="69" spans="1:12" x14ac:dyDescent="0.35">
      <c r="A69" s="14" t="s">
        <v>85</v>
      </c>
      <c r="B69" s="15">
        <v>6</v>
      </c>
      <c r="C69" s="16">
        <v>43864</v>
      </c>
      <c r="D69" s="2">
        <f>SUM(weekly_covid_deaths_by_age_females[[#This Row],[&lt;1]:[85+]])</f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/>
    </row>
    <row r="70" spans="1:12" x14ac:dyDescent="0.35">
      <c r="A70" s="14" t="s">
        <v>85</v>
      </c>
      <c r="B70" s="15">
        <v>7</v>
      </c>
      <c r="C70" s="16">
        <v>43871</v>
      </c>
      <c r="D70" s="2">
        <f>SUM(weekly_covid_deaths_by_age_females[[#This Row],[&lt;1]:[85+]])</f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/>
    </row>
    <row r="71" spans="1:12" x14ac:dyDescent="0.35">
      <c r="A71" s="14" t="s">
        <v>85</v>
      </c>
      <c r="B71" s="15">
        <v>8</v>
      </c>
      <c r="C71" s="16">
        <v>43878</v>
      </c>
      <c r="D71" s="2">
        <f>SUM(weekly_covid_deaths_by_age_females[[#This Row],[&lt;1]:[85+]])</f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/>
    </row>
    <row r="72" spans="1:12" x14ac:dyDescent="0.35">
      <c r="A72" s="14" t="s">
        <v>85</v>
      </c>
      <c r="B72" s="15">
        <v>9</v>
      </c>
      <c r="C72" s="16">
        <v>43885</v>
      </c>
      <c r="D72" s="2">
        <f>SUM(weekly_covid_deaths_by_age_females[[#This Row],[&lt;1]:[85+]])</f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/>
    </row>
    <row r="73" spans="1:12" x14ac:dyDescent="0.35">
      <c r="A73" s="14" t="s">
        <v>85</v>
      </c>
      <c r="B73" s="15">
        <v>10</v>
      </c>
      <c r="C73" s="16">
        <v>43892</v>
      </c>
      <c r="D73" s="2">
        <f>SUM(weekly_covid_deaths_by_age_females[[#This Row],[&lt;1]:[85+]])</f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5"/>
    </row>
    <row r="74" spans="1:12" x14ac:dyDescent="0.35">
      <c r="A74" s="14" t="s">
        <v>85</v>
      </c>
      <c r="B74" s="15">
        <v>11</v>
      </c>
      <c r="C74" s="16">
        <v>43899</v>
      </c>
      <c r="D74" s="2">
        <f>SUM(weekly_covid_deaths_by_age_females[[#This Row],[&lt;1]:[85+]])</f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5"/>
    </row>
    <row r="75" spans="1:12" x14ac:dyDescent="0.35">
      <c r="A75" s="14" t="s">
        <v>85</v>
      </c>
      <c r="B75" s="15">
        <v>12</v>
      </c>
      <c r="C75" s="16">
        <v>43906</v>
      </c>
      <c r="D75" s="2">
        <f>SUM(weekly_covid_deaths_by_age_females[[#This Row],[&lt;1]:[85+]])</f>
        <v>5</v>
      </c>
      <c r="E75" s="2">
        <v>0</v>
      </c>
      <c r="F75" s="2">
        <v>0</v>
      </c>
      <c r="G75" s="2">
        <v>0</v>
      </c>
      <c r="H75" s="2">
        <v>1</v>
      </c>
      <c r="I75" s="2">
        <v>3</v>
      </c>
      <c r="J75" s="2">
        <v>0</v>
      </c>
      <c r="K75" s="2">
        <v>1</v>
      </c>
      <c r="L75" s="2"/>
    </row>
    <row r="76" spans="1:12" x14ac:dyDescent="0.35">
      <c r="A76" s="14" t="s">
        <v>85</v>
      </c>
      <c r="B76" s="15">
        <v>13</v>
      </c>
      <c r="C76" s="16">
        <v>43913</v>
      </c>
      <c r="D76" s="2">
        <f>SUM(weekly_covid_deaths_by_age_females[[#This Row],[&lt;1]:[85+]])</f>
        <v>26</v>
      </c>
      <c r="E76" s="2">
        <v>0</v>
      </c>
      <c r="F76" s="2">
        <v>0</v>
      </c>
      <c r="G76" s="2">
        <v>0</v>
      </c>
      <c r="H76" s="2">
        <v>3</v>
      </c>
      <c r="I76" s="2">
        <v>3</v>
      </c>
      <c r="J76" s="2">
        <v>9</v>
      </c>
      <c r="K76" s="2">
        <v>11</v>
      </c>
      <c r="L76" s="18"/>
    </row>
    <row r="77" spans="1:12" x14ac:dyDescent="0.35">
      <c r="A77" s="14" t="s">
        <v>85</v>
      </c>
      <c r="B77" s="15">
        <v>14</v>
      </c>
      <c r="C77" s="16">
        <v>43920</v>
      </c>
      <c r="D77" s="2">
        <f>SUM(weekly_covid_deaths_by_age_females[[#This Row],[&lt;1]:[85+]])</f>
        <v>127</v>
      </c>
      <c r="E77" s="2">
        <v>0</v>
      </c>
      <c r="F77" s="2">
        <v>0</v>
      </c>
      <c r="G77" s="2">
        <v>2</v>
      </c>
      <c r="H77" s="2">
        <v>12</v>
      </c>
      <c r="I77" s="2">
        <v>20</v>
      </c>
      <c r="J77" s="2">
        <v>50</v>
      </c>
      <c r="K77" s="2">
        <v>43</v>
      </c>
      <c r="L77" s="19"/>
    </row>
    <row r="78" spans="1:12" x14ac:dyDescent="0.35">
      <c r="A78" s="14" t="s">
        <v>85</v>
      </c>
      <c r="B78" s="15">
        <v>15</v>
      </c>
      <c r="C78" s="16">
        <v>43927</v>
      </c>
      <c r="D78" s="2">
        <f>SUM(weekly_covid_deaths_by_age_females[[#This Row],[&lt;1]:[85+]])</f>
        <v>261</v>
      </c>
      <c r="E78" s="2">
        <v>0</v>
      </c>
      <c r="F78" s="2">
        <v>0</v>
      </c>
      <c r="G78" s="2">
        <v>3</v>
      </c>
      <c r="H78" s="2">
        <v>17</v>
      </c>
      <c r="I78" s="2">
        <v>32</v>
      </c>
      <c r="J78" s="2">
        <v>97</v>
      </c>
      <c r="K78" s="2">
        <v>112</v>
      </c>
      <c r="L78" s="19"/>
    </row>
    <row r="79" spans="1:12" x14ac:dyDescent="0.35">
      <c r="A79" s="14" t="s">
        <v>85</v>
      </c>
      <c r="B79" s="15">
        <v>16</v>
      </c>
      <c r="C79" s="16">
        <v>43934</v>
      </c>
      <c r="D79" s="2">
        <f>SUM(weekly_covid_deaths_by_age_females[[#This Row],[&lt;1]:[85+]])</f>
        <v>309</v>
      </c>
      <c r="E79" s="2">
        <v>0</v>
      </c>
      <c r="F79" s="2">
        <v>0</v>
      </c>
      <c r="G79" s="2">
        <v>1</v>
      </c>
      <c r="H79" s="2">
        <v>16</v>
      </c>
      <c r="I79" s="2">
        <v>32</v>
      </c>
      <c r="J79" s="2">
        <v>93</v>
      </c>
      <c r="K79" s="2">
        <v>167</v>
      </c>
      <c r="L79" s="19"/>
    </row>
    <row r="80" spans="1:12" x14ac:dyDescent="0.35">
      <c r="A80" s="14" t="s">
        <v>85</v>
      </c>
      <c r="B80" s="15">
        <v>17</v>
      </c>
      <c r="C80" s="16">
        <v>43941</v>
      </c>
      <c r="D80" s="2">
        <f>SUM(weekly_covid_deaths_by_age_females[[#This Row],[&lt;1]:[85+]])</f>
        <v>346</v>
      </c>
      <c r="E80" s="2">
        <v>0</v>
      </c>
      <c r="F80" s="2">
        <v>0</v>
      </c>
      <c r="G80" s="2">
        <v>3</v>
      </c>
      <c r="H80" s="2">
        <v>17</v>
      </c>
      <c r="I80" s="2">
        <v>43</v>
      </c>
      <c r="J80" s="2">
        <v>105</v>
      </c>
      <c r="K80" s="2">
        <v>178</v>
      </c>
      <c r="L80" s="19"/>
    </row>
    <row r="81" spans="1:12" x14ac:dyDescent="0.35">
      <c r="A81" s="14" t="s">
        <v>85</v>
      </c>
      <c r="B81" s="15">
        <v>18</v>
      </c>
      <c r="C81" s="16">
        <v>43948</v>
      </c>
      <c r="D81" s="2">
        <f>SUM(weekly_covid_deaths_by_age_females[[#This Row],[&lt;1]:[85+]])</f>
        <v>279</v>
      </c>
      <c r="E81" s="2">
        <v>0</v>
      </c>
      <c r="F81" s="2">
        <v>0</v>
      </c>
      <c r="G81" s="2">
        <v>2</v>
      </c>
      <c r="H81" s="2">
        <v>12</v>
      </c>
      <c r="I81" s="2">
        <v>26</v>
      </c>
      <c r="J81" s="2">
        <v>66</v>
      </c>
      <c r="K81" s="2">
        <v>173</v>
      </c>
      <c r="L81" s="19"/>
    </row>
    <row r="82" spans="1:12" x14ac:dyDescent="0.35">
      <c r="A82" s="14" t="s">
        <v>85</v>
      </c>
      <c r="B82" s="15">
        <v>19</v>
      </c>
      <c r="C82" s="16">
        <v>43955</v>
      </c>
      <c r="D82" s="2">
        <f>SUM(weekly_covid_deaths_by_age_females[[#This Row],[&lt;1]:[85+]])</f>
        <v>220</v>
      </c>
      <c r="E82" s="2">
        <v>0</v>
      </c>
      <c r="F82" s="2">
        <v>0</v>
      </c>
      <c r="G82" s="2">
        <v>1</v>
      </c>
      <c r="H82" s="2">
        <v>16</v>
      </c>
      <c r="I82" s="2">
        <v>20</v>
      </c>
      <c r="J82" s="2">
        <v>65</v>
      </c>
      <c r="K82" s="2">
        <v>118</v>
      </c>
      <c r="L82" s="19"/>
    </row>
    <row r="83" spans="1:12" x14ac:dyDescent="0.35">
      <c r="A83" s="14" t="s">
        <v>85</v>
      </c>
      <c r="B83" s="15">
        <v>20</v>
      </c>
      <c r="C83" s="16">
        <v>43962</v>
      </c>
      <c r="D83" s="2">
        <f>SUM(weekly_covid_deaths_by_age_females[[#This Row],[&lt;1]:[85+]])</f>
        <v>181</v>
      </c>
      <c r="E83" s="2">
        <v>0</v>
      </c>
      <c r="F83" s="2">
        <v>0</v>
      </c>
      <c r="G83" s="2">
        <v>0</v>
      </c>
      <c r="H83" s="2">
        <v>10</v>
      </c>
      <c r="I83" s="2">
        <v>21</v>
      </c>
      <c r="J83" s="2">
        <v>42</v>
      </c>
      <c r="K83" s="2">
        <v>108</v>
      </c>
      <c r="L83" s="19"/>
    </row>
    <row r="84" spans="1:12" x14ac:dyDescent="0.35">
      <c r="A84" s="14" t="s">
        <v>85</v>
      </c>
      <c r="B84" s="15">
        <v>21</v>
      </c>
      <c r="C84" s="16">
        <v>43969</v>
      </c>
      <c r="D84" s="2">
        <f>SUM(weekly_covid_deaths_by_age_females[[#This Row],[&lt;1]:[85+]])</f>
        <v>123</v>
      </c>
      <c r="E84" s="2">
        <v>0</v>
      </c>
      <c r="F84" s="2">
        <v>0</v>
      </c>
      <c r="G84" s="2">
        <v>0</v>
      </c>
      <c r="H84" s="2">
        <v>5</v>
      </c>
      <c r="I84" s="2">
        <v>4</v>
      </c>
      <c r="J84" s="2">
        <v>41</v>
      </c>
      <c r="K84" s="2">
        <v>73</v>
      </c>
      <c r="L84" s="19"/>
    </row>
    <row r="85" spans="1:12" x14ac:dyDescent="0.35">
      <c r="A85" s="14" t="s">
        <v>85</v>
      </c>
      <c r="B85" s="15">
        <v>22</v>
      </c>
      <c r="C85" s="16">
        <v>43976</v>
      </c>
      <c r="D85" s="2">
        <f>SUM(weekly_covid_deaths_by_age_females[[#This Row],[&lt;1]:[85+]])</f>
        <v>69</v>
      </c>
      <c r="E85" s="2">
        <v>0</v>
      </c>
      <c r="F85" s="2">
        <v>0</v>
      </c>
      <c r="G85" s="2">
        <v>1</v>
      </c>
      <c r="H85" s="2">
        <v>5</v>
      </c>
      <c r="I85" s="2">
        <v>8</v>
      </c>
      <c r="J85" s="2">
        <v>20</v>
      </c>
      <c r="K85" s="2">
        <v>35</v>
      </c>
      <c r="L85" s="19"/>
    </row>
    <row r="86" spans="1:12" x14ac:dyDescent="0.35">
      <c r="A86" s="14" t="s">
        <v>85</v>
      </c>
      <c r="B86" s="15">
        <v>23</v>
      </c>
      <c r="C86" s="16">
        <v>43983</v>
      </c>
      <c r="D86" s="2">
        <f>SUM(weekly_covid_deaths_by_age_females[[#This Row],[&lt;1]:[85+]])</f>
        <v>47</v>
      </c>
      <c r="E86" s="2">
        <v>0</v>
      </c>
      <c r="F86" s="2">
        <v>0</v>
      </c>
      <c r="G86" s="2">
        <v>0</v>
      </c>
      <c r="H86" s="2">
        <v>2</v>
      </c>
      <c r="I86" s="2">
        <v>6</v>
      </c>
      <c r="J86" s="2">
        <v>12</v>
      </c>
      <c r="K86" s="2">
        <v>27</v>
      </c>
      <c r="L86" s="19"/>
    </row>
    <row r="87" spans="1:12" x14ac:dyDescent="0.35">
      <c r="A87" s="14" t="s">
        <v>85</v>
      </c>
      <c r="B87" s="15">
        <v>24</v>
      </c>
      <c r="C87" s="16">
        <v>43990</v>
      </c>
      <c r="D87" s="2">
        <f>SUM(weekly_covid_deaths_by_age_females[[#This Row],[&lt;1]:[85+]])</f>
        <v>42</v>
      </c>
      <c r="E87" s="2">
        <v>0</v>
      </c>
      <c r="F87" s="2">
        <v>0</v>
      </c>
      <c r="G87" s="2">
        <v>1</v>
      </c>
      <c r="H87" s="2">
        <v>0</v>
      </c>
      <c r="I87" s="2">
        <v>2</v>
      </c>
      <c r="J87" s="2">
        <v>12</v>
      </c>
      <c r="K87" s="2">
        <v>27</v>
      </c>
      <c r="L87" s="19"/>
    </row>
    <row r="88" spans="1:12" x14ac:dyDescent="0.35">
      <c r="A88" s="14" t="s">
        <v>85</v>
      </c>
      <c r="B88" s="15">
        <v>25</v>
      </c>
      <c r="C88" s="16">
        <v>43997</v>
      </c>
      <c r="D88" s="2">
        <f>SUM(weekly_covid_deaths_by_age_females[[#This Row],[&lt;1]:[85+]])</f>
        <v>30</v>
      </c>
      <c r="E88" s="2">
        <v>0</v>
      </c>
      <c r="F88" s="2">
        <v>0</v>
      </c>
      <c r="G88" s="2">
        <v>0</v>
      </c>
      <c r="H88" s="2">
        <v>2</v>
      </c>
      <c r="I88" s="2">
        <v>4</v>
      </c>
      <c r="J88" s="2">
        <v>9</v>
      </c>
      <c r="K88" s="2">
        <v>15</v>
      </c>
      <c r="L88" s="19"/>
    </row>
    <row r="89" spans="1:12" x14ac:dyDescent="0.35">
      <c r="A89" s="14" t="s">
        <v>85</v>
      </c>
      <c r="B89" s="15">
        <v>26</v>
      </c>
      <c r="C89" s="16">
        <v>44004</v>
      </c>
      <c r="D89" s="2">
        <f>SUM(weekly_covid_deaths_by_age_females[[#This Row],[&lt;1]:[85+]])</f>
        <v>19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7</v>
      </c>
      <c r="K89" s="2">
        <v>12</v>
      </c>
      <c r="L89" s="19"/>
    </row>
    <row r="90" spans="1:12" x14ac:dyDescent="0.35">
      <c r="A90" s="14" t="s">
        <v>85</v>
      </c>
      <c r="B90" s="15">
        <v>27</v>
      </c>
      <c r="C90" s="16">
        <v>44011</v>
      </c>
      <c r="D90" s="2">
        <f>SUM(weekly_covid_deaths_by_age_females[[#This Row],[&lt;1]:[85+]])</f>
        <v>11</v>
      </c>
      <c r="E90" s="2">
        <v>0</v>
      </c>
      <c r="F90" s="2">
        <v>0</v>
      </c>
      <c r="G90" s="2">
        <v>1</v>
      </c>
      <c r="H90" s="2">
        <v>0</v>
      </c>
      <c r="I90" s="2">
        <v>1</v>
      </c>
      <c r="J90" s="2">
        <v>2</v>
      </c>
      <c r="K90" s="2">
        <v>7</v>
      </c>
      <c r="L90" s="19"/>
    </row>
    <row r="91" spans="1:12" x14ac:dyDescent="0.35">
      <c r="A91" s="14" t="s">
        <v>85</v>
      </c>
      <c r="B91" s="15">
        <v>28</v>
      </c>
      <c r="C91" s="16">
        <v>44018</v>
      </c>
      <c r="D91" s="2">
        <f>SUM(weekly_covid_deaths_by_age_females[[#This Row],[&lt;1]:[85+]])</f>
        <v>8</v>
      </c>
      <c r="E91" s="2">
        <v>0</v>
      </c>
      <c r="F91" s="2">
        <v>0</v>
      </c>
      <c r="G91" s="2">
        <v>0</v>
      </c>
      <c r="H91" s="2">
        <v>0</v>
      </c>
      <c r="I91" s="2">
        <v>2</v>
      </c>
      <c r="J91" s="2">
        <v>1</v>
      </c>
      <c r="K91" s="2">
        <v>5</v>
      </c>
      <c r="L91" s="19"/>
    </row>
    <row r="92" spans="1:12" x14ac:dyDescent="0.35">
      <c r="A92" s="14" t="s">
        <v>85</v>
      </c>
      <c r="B92" s="15">
        <v>29</v>
      </c>
      <c r="C92" s="16">
        <v>44025</v>
      </c>
      <c r="D92" s="2">
        <f>SUM(weekly_covid_deaths_by_age_females[[#This Row],[&lt;1]:[85+]])</f>
        <v>4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2</v>
      </c>
      <c r="L92" s="19"/>
    </row>
    <row r="93" spans="1:12" x14ac:dyDescent="0.35">
      <c r="A93" s="14" t="s">
        <v>85</v>
      </c>
      <c r="B93" s="15">
        <v>30</v>
      </c>
      <c r="C93" s="16">
        <v>44032</v>
      </c>
      <c r="D93" s="2">
        <f>SUM(weekly_covid_deaths_by_age_females[[#This Row],[&lt;1]:[85+]])</f>
        <v>5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2</v>
      </c>
      <c r="K93" s="2">
        <v>2</v>
      </c>
      <c r="L93" s="19"/>
    </row>
    <row r="94" spans="1:12" x14ac:dyDescent="0.35">
      <c r="A94" s="14" t="s">
        <v>85</v>
      </c>
      <c r="B94" s="15">
        <v>31</v>
      </c>
      <c r="C94" s="16">
        <v>44039</v>
      </c>
      <c r="D94" s="2">
        <f>SUM(weekly_covid_deaths_by_age_females[[#This Row],[&lt;1]:[85+]])</f>
        <v>4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2</v>
      </c>
      <c r="K94" s="2">
        <v>1</v>
      </c>
      <c r="L94" s="19"/>
    </row>
    <row r="95" spans="1:12" x14ac:dyDescent="0.35">
      <c r="A95" s="14" t="s">
        <v>85</v>
      </c>
      <c r="B95" s="15">
        <v>32</v>
      </c>
      <c r="C95" s="16">
        <v>44046</v>
      </c>
      <c r="D95" s="2">
        <f>SUM(weekly_covid_deaths_by_age_females[[#This Row],[&lt;1]:[85+]])</f>
        <v>5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2</v>
      </c>
      <c r="K95" s="2">
        <v>2</v>
      </c>
      <c r="L95" s="19"/>
    </row>
    <row r="96" spans="1:12" x14ac:dyDescent="0.35">
      <c r="A96" s="14" t="s">
        <v>85</v>
      </c>
      <c r="B96" s="15">
        <v>33</v>
      </c>
      <c r="C96" s="16">
        <v>44053</v>
      </c>
      <c r="D96" s="2">
        <f>SUM(weekly_covid_deaths_by_age_females[[#This Row],[&lt;1]:[85+]])</f>
        <v>2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1</v>
      </c>
      <c r="L96" s="19"/>
    </row>
    <row r="97" spans="1:12" x14ac:dyDescent="0.35">
      <c r="A97" s="14" t="s">
        <v>85</v>
      </c>
      <c r="B97" s="15">
        <v>34</v>
      </c>
      <c r="C97" s="16">
        <v>44060</v>
      </c>
      <c r="D97" s="2">
        <f>SUM(weekly_covid_deaths_by_age_females[[#This Row],[&lt;1]:[85+]])</f>
        <v>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3</v>
      </c>
      <c r="L97" s="19"/>
    </row>
    <row r="98" spans="1:12" x14ac:dyDescent="0.35">
      <c r="A98" s="14" t="s">
        <v>85</v>
      </c>
      <c r="B98" s="15">
        <v>35</v>
      </c>
      <c r="C98" s="16">
        <v>44067</v>
      </c>
      <c r="D98" s="2">
        <f>SUM(weekly_covid_deaths_by_age_females[[#This Row],[&lt;1]:[85+]])</f>
        <v>3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  <c r="K98" s="2">
        <v>2</v>
      </c>
      <c r="L98" s="19"/>
    </row>
    <row r="99" spans="1:12" x14ac:dyDescent="0.35">
      <c r="A99" s="14" t="s">
        <v>85</v>
      </c>
      <c r="B99" s="15">
        <v>36</v>
      </c>
      <c r="C99" s="16">
        <v>44074</v>
      </c>
      <c r="D99" s="2">
        <f>SUM(weekly_covid_deaths_by_age_females[[#This Row],[&lt;1]:[85+]])</f>
        <v>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2</v>
      </c>
      <c r="L99" s="19"/>
    </row>
    <row r="100" spans="1:12" x14ac:dyDescent="0.35">
      <c r="A100" s="14" t="s">
        <v>85</v>
      </c>
      <c r="B100" s="15">
        <v>37</v>
      </c>
      <c r="C100" s="16">
        <v>44081</v>
      </c>
      <c r="D100" s="2">
        <f>SUM(weekly_covid_deaths_by_age_females[[#This Row],[&lt;1]:[85+]])</f>
        <v>1</v>
      </c>
      <c r="E100" s="2">
        <v>0</v>
      </c>
      <c r="F100" s="2">
        <v>0</v>
      </c>
      <c r="G100" s="2">
        <v>0</v>
      </c>
      <c r="H100" s="2">
        <v>0</v>
      </c>
      <c r="I100" s="2">
        <v>1</v>
      </c>
      <c r="J100" s="2">
        <v>0</v>
      </c>
      <c r="K100" s="2">
        <v>0</v>
      </c>
      <c r="L100" s="19"/>
    </row>
    <row r="101" spans="1:12" x14ac:dyDescent="0.35">
      <c r="A101" s="14" t="s">
        <v>85</v>
      </c>
      <c r="B101" s="15">
        <v>38</v>
      </c>
      <c r="C101" s="16">
        <v>44088</v>
      </c>
      <c r="D101" s="2">
        <f>SUM(weekly_covid_deaths_by_age_females[[#This Row],[&lt;1]:[85+]])</f>
        <v>5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4</v>
      </c>
      <c r="L101" s="19"/>
    </row>
    <row r="102" spans="1:12" x14ac:dyDescent="0.35">
      <c r="A102" s="14" t="s">
        <v>85</v>
      </c>
      <c r="B102" s="15">
        <v>39</v>
      </c>
      <c r="C102" s="16">
        <v>44095</v>
      </c>
      <c r="D102" s="2">
        <f>SUM(weekly_covid_deaths_by_age_females[[#This Row],[&lt;1]:[85+]])</f>
        <v>3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1</v>
      </c>
      <c r="K102" s="2">
        <v>2</v>
      </c>
      <c r="L102" s="19"/>
    </row>
    <row r="103" spans="1:12" x14ac:dyDescent="0.35">
      <c r="A103" s="14" t="s">
        <v>85</v>
      </c>
      <c r="B103" s="15">
        <v>40</v>
      </c>
      <c r="C103" s="16">
        <v>44102</v>
      </c>
      <c r="D103" s="2">
        <f>SUM(weekly_covid_deaths_by_age_females[[#This Row],[&lt;1]:[85+]])</f>
        <v>9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5</v>
      </c>
      <c r="K103" s="2">
        <v>4</v>
      </c>
      <c r="L103" s="19"/>
    </row>
    <row r="104" spans="1:12" x14ac:dyDescent="0.35">
      <c r="A104" s="14" t="s">
        <v>85</v>
      </c>
      <c r="B104" s="15">
        <v>41</v>
      </c>
      <c r="C104" s="16">
        <v>44109</v>
      </c>
      <c r="D104" s="2">
        <f>SUM(weekly_covid_deaths_by_age_females[[#This Row],[&lt;1]:[85+]])</f>
        <v>11</v>
      </c>
      <c r="E104" s="2">
        <v>0</v>
      </c>
      <c r="F104" s="2">
        <v>0</v>
      </c>
      <c r="G104" s="2">
        <v>1</v>
      </c>
      <c r="H104" s="2">
        <v>3</v>
      </c>
      <c r="I104" s="2">
        <v>1</v>
      </c>
      <c r="J104" s="2">
        <v>3</v>
      </c>
      <c r="K104" s="2">
        <v>3</v>
      </c>
      <c r="L104" s="19"/>
    </row>
    <row r="105" spans="1:12" x14ac:dyDescent="0.35">
      <c r="A105" s="14" t="s">
        <v>85</v>
      </c>
      <c r="B105" s="15">
        <v>42</v>
      </c>
      <c r="C105" s="16">
        <v>44116</v>
      </c>
      <c r="D105" s="2">
        <f>SUM(weekly_covid_deaths_by_age_females[[#This Row],[&lt;1]:[85+]])</f>
        <v>32</v>
      </c>
      <c r="E105" s="2">
        <v>0</v>
      </c>
      <c r="F105" s="2">
        <v>0</v>
      </c>
      <c r="G105" s="2">
        <v>0</v>
      </c>
      <c r="H105" s="2">
        <v>3</v>
      </c>
      <c r="I105" s="2">
        <v>7</v>
      </c>
      <c r="J105" s="2">
        <v>13</v>
      </c>
      <c r="K105" s="2">
        <v>9</v>
      </c>
      <c r="L105" s="19"/>
    </row>
    <row r="106" spans="1:12" x14ac:dyDescent="0.35">
      <c r="A106" s="14" t="s">
        <v>85</v>
      </c>
      <c r="B106" s="15">
        <v>43</v>
      </c>
      <c r="C106" s="16">
        <v>44123</v>
      </c>
      <c r="D106" s="2">
        <f>SUM(weekly_covid_deaths_by_age_females[[#This Row],[&lt;1]:[85+]])</f>
        <v>45</v>
      </c>
      <c r="E106" s="2">
        <v>0</v>
      </c>
      <c r="F106" s="2">
        <v>0</v>
      </c>
      <c r="G106" s="2">
        <v>0</v>
      </c>
      <c r="H106" s="2">
        <v>5</v>
      </c>
      <c r="I106" s="2">
        <v>5</v>
      </c>
      <c r="J106" s="2">
        <v>20</v>
      </c>
      <c r="K106" s="2">
        <v>15</v>
      </c>
      <c r="L106" s="18"/>
    </row>
    <row r="107" spans="1:12" x14ac:dyDescent="0.35">
      <c r="A107" s="14" t="s">
        <v>85</v>
      </c>
      <c r="B107" s="15">
        <v>44</v>
      </c>
      <c r="C107" s="16">
        <v>44130</v>
      </c>
      <c r="D107" s="2">
        <f>SUM(weekly_covid_deaths_by_age_females[[#This Row],[&lt;1]:[85+]])</f>
        <v>70</v>
      </c>
      <c r="E107" s="2">
        <v>0</v>
      </c>
      <c r="F107" s="2">
        <v>0</v>
      </c>
      <c r="G107" s="2">
        <v>0</v>
      </c>
      <c r="H107" s="2">
        <v>5</v>
      </c>
      <c r="I107" s="2">
        <v>16</v>
      </c>
      <c r="J107" s="2">
        <v>25</v>
      </c>
      <c r="K107" s="2">
        <v>24</v>
      </c>
      <c r="L107" s="19"/>
    </row>
    <row r="108" spans="1:12" x14ac:dyDescent="0.35">
      <c r="A108" s="14" t="s">
        <v>85</v>
      </c>
      <c r="B108" s="15">
        <v>45</v>
      </c>
      <c r="C108" s="16">
        <v>44137</v>
      </c>
      <c r="D108" s="2">
        <f>SUM(weekly_covid_deaths_by_age_females[[#This Row],[&lt;1]:[85+]])</f>
        <v>104</v>
      </c>
      <c r="E108" s="2">
        <v>0</v>
      </c>
      <c r="F108" s="2">
        <v>0</v>
      </c>
      <c r="G108" s="2">
        <v>0</v>
      </c>
      <c r="H108" s="2">
        <v>9</v>
      </c>
      <c r="I108" s="2">
        <v>18</v>
      </c>
      <c r="J108" s="2">
        <v>32</v>
      </c>
      <c r="K108" s="2">
        <v>45</v>
      </c>
      <c r="L108" s="19"/>
    </row>
    <row r="109" spans="1:12" x14ac:dyDescent="0.35">
      <c r="A109" s="14" t="s">
        <v>85</v>
      </c>
      <c r="B109" s="15">
        <v>46</v>
      </c>
      <c r="C109" s="16">
        <v>44144</v>
      </c>
      <c r="D109" s="2">
        <f>SUM(weekly_covid_deaths_by_age_females[[#This Row],[&lt;1]:[85+]])</f>
        <v>121</v>
      </c>
      <c r="E109" s="2">
        <v>0</v>
      </c>
      <c r="F109" s="2">
        <v>0</v>
      </c>
      <c r="G109" s="2">
        <v>0</v>
      </c>
      <c r="H109" s="2">
        <v>10</v>
      </c>
      <c r="I109" s="2">
        <v>20</v>
      </c>
      <c r="J109" s="2">
        <v>37</v>
      </c>
      <c r="K109" s="2">
        <v>54</v>
      </c>
      <c r="L109" s="18"/>
    </row>
    <row r="110" spans="1:12" x14ac:dyDescent="0.35">
      <c r="A110" s="14" t="s">
        <v>85</v>
      </c>
      <c r="B110" s="15">
        <v>47</v>
      </c>
      <c r="C110" s="16">
        <v>44151</v>
      </c>
      <c r="D110" s="2">
        <f>SUM(weekly_covid_deaths_by_age_females[[#This Row],[&lt;1]:[85+]])</f>
        <v>121</v>
      </c>
      <c r="E110" s="2">
        <v>0</v>
      </c>
      <c r="F110" s="2">
        <v>0</v>
      </c>
      <c r="G110" s="2">
        <v>1</v>
      </c>
      <c r="H110" s="2">
        <v>8</v>
      </c>
      <c r="I110" s="2">
        <v>21</v>
      </c>
      <c r="J110" s="2">
        <v>19</v>
      </c>
      <c r="K110" s="2">
        <v>72</v>
      </c>
    </row>
    <row r="111" spans="1:12" x14ac:dyDescent="0.35">
      <c r="A111" s="14" t="s">
        <v>85</v>
      </c>
      <c r="B111" s="15">
        <v>48</v>
      </c>
      <c r="C111" s="16">
        <v>44158</v>
      </c>
      <c r="D111" s="2">
        <f>SUM(weekly_covid_deaths_by_age_females[[#This Row],[&lt;1]:[85+]])</f>
        <v>119</v>
      </c>
      <c r="E111" s="2">
        <v>0</v>
      </c>
      <c r="F111" s="2">
        <v>0</v>
      </c>
      <c r="G111" s="2">
        <v>2</v>
      </c>
      <c r="H111" s="2">
        <v>13</v>
      </c>
      <c r="I111" s="2">
        <v>16</v>
      </c>
      <c r="J111" s="2">
        <v>37</v>
      </c>
      <c r="K111" s="2">
        <v>51</v>
      </c>
    </row>
    <row r="112" spans="1:12" x14ac:dyDescent="0.35">
      <c r="A112" s="14" t="s">
        <v>85</v>
      </c>
      <c r="B112" s="15">
        <v>49</v>
      </c>
      <c r="C112" s="16">
        <v>44165</v>
      </c>
      <c r="D112" s="2">
        <f>SUM(weekly_covid_deaths_by_age_females[[#This Row],[&lt;1]:[85+]])</f>
        <v>105</v>
      </c>
      <c r="E112" s="2">
        <v>0</v>
      </c>
      <c r="F112" s="2">
        <v>0</v>
      </c>
      <c r="G112" s="2">
        <v>0</v>
      </c>
      <c r="H112" s="2">
        <v>4</v>
      </c>
      <c r="I112" s="2">
        <v>17</v>
      </c>
      <c r="J112" s="2">
        <v>40</v>
      </c>
      <c r="K112" s="2">
        <v>44</v>
      </c>
    </row>
    <row r="113" spans="1:23" x14ac:dyDescent="0.35">
      <c r="A113" s="14" t="s">
        <v>85</v>
      </c>
      <c r="B113" s="15">
        <v>50</v>
      </c>
      <c r="C113" s="16">
        <v>44172</v>
      </c>
      <c r="D113" s="2">
        <f>SUM(weekly_covid_deaths_by_age_females[[#This Row],[&lt;1]:[85+]])</f>
        <v>110</v>
      </c>
      <c r="E113" s="2">
        <v>0</v>
      </c>
      <c r="F113" s="2">
        <v>0</v>
      </c>
      <c r="G113" s="2">
        <v>0</v>
      </c>
      <c r="H113" s="2">
        <v>7</v>
      </c>
      <c r="I113" s="2">
        <v>17</v>
      </c>
      <c r="J113" s="2">
        <v>40</v>
      </c>
      <c r="K113" s="2">
        <v>46</v>
      </c>
    </row>
    <row r="114" spans="1:23" x14ac:dyDescent="0.35">
      <c r="A114" s="14" t="s">
        <v>85</v>
      </c>
      <c r="B114" s="15">
        <v>51</v>
      </c>
      <c r="C114" s="16">
        <v>44179</v>
      </c>
      <c r="D114" s="2">
        <f>SUM(weekly_covid_deaths_by_age_females[[#This Row],[&lt;1]:[85+]])</f>
        <v>98</v>
      </c>
      <c r="E114" s="2">
        <v>1</v>
      </c>
      <c r="F114" s="2">
        <v>0</v>
      </c>
      <c r="G114" s="2">
        <v>0</v>
      </c>
      <c r="H114" s="2">
        <v>5</v>
      </c>
      <c r="I114" s="2">
        <v>10</v>
      </c>
      <c r="J114" s="2">
        <v>25</v>
      </c>
      <c r="K114" s="2">
        <v>57</v>
      </c>
    </row>
    <row r="115" spans="1:23" x14ac:dyDescent="0.35">
      <c r="A115" s="14" t="s">
        <v>85</v>
      </c>
      <c r="B115" s="15">
        <v>52</v>
      </c>
      <c r="C115" s="16">
        <v>44186</v>
      </c>
      <c r="D115" s="2">
        <f>SUM(weekly_covid_deaths_by_age_females[[#This Row],[&lt;1]:[85+]])</f>
        <v>101</v>
      </c>
      <c r="E115" s="2">
        <v>0</v>
      </c>
      <c r="F115" s="2">
        <v>0</v>
      </c>
      <c r="G115" s="2">
        <v>0</v>
      </c>
      <c r="H115" s="2">
        <v>11</v>
      </c>
      <c r="I115" s="2">
        <v>16</v>
      </c>
      <c r="J115" s="2">
        <v>27</v>
      </c>
      <c r="K115" s="2">
        <v>47</v>
      </c>
    </row>
    <row r="116" spans="1:23" x14ac:dyDescent="0.35">
      <c r="A116" s="11" t="s">
        <v>85</v>
      </c>
      <c r="B116" s="15">
        <v>53</v>
      </c>
      <c r="C116" s="16">
        <v>44193</v>
      </c>
      <c r="D116" s="2">
        <f>SUM(weekly_covid_deaths_by_age_females[[#This Row],[&lt;1]:[85+]])</f>
        <v>97</v>
      </c>
      <c r="E116" s="2">
        <v>0</v>
      </c>
      <c r="F116" s="2">
        <v>0</v>
      </c>
      <c r="G116" s="2">
        <v>1</v>
      </c>
      <c r="H116" s="2">
        <v>5</v>
      </c>
      <c r="I116" s="2">
        <v>13</v>
      </c>
      <c r="J116" s="2">
        <v>31</v>
      </c>
      <c r="K116" s="2">
        <v>47</v>
      </c>
    </row>
    <row r="117" spans="1:23" x14ac:dyDescent="0.35">
      <c r="A117" s="5" t="s">
        <v>179</v>
      </c>
      <c r="B117" s="15" t="s">
        <v>179</v>
      </c>
      <c r="C117" s="15" t="s">
        <v>179</v>
      </c>
      <c r="D117" s="25">
        <f>SUBTOTAL(109,weekly_covid_deaths_by_age_females[All ages])</f>
        <v>3284</v>
      </c>
      <c r="E117" s="52">
        <f>SUBTOTAL(109,weekly_covid_deaths_by_age_females[&lt;1])</f>
        <v>1</v>
      </c>
      <c r="F117" s="52">
        <f>SUBTOTAL(109,weekly_covid_deaths_by_age_females[1-14])</f>
        <v>0</v>
      </c>
      <c r="G117" s="52">
        <f>SUBTOTAL(109,weekly_covid_deaths_by_age_females[15-44])</f>
        <v>20</v>
      </c>
      <c r="H117" s="52">
        <f>SUBTOTAL(109,weekly_covid_deaths_by_age_females[45-64])</f>
        <v>209</v>
      </c>
      <c r="I117" s="52">
        <f>SUBTOTAL(109,weekly_covid_deaths_by_age_females[65-74])</f>
        <v>407</v>
      </c>
      <c r="J117" s="52">
        <f>SUBTOTAL(109,weekly_covid_deaths_by_age_females[75-84])</f>
        <v>996</v>
      </c>
      <c r="K117" s="52">
        <f>SUBTOTAL(109,weekly_covid_deaths_by_age_females[85+])</f>
        <v>1651</v>
      </c>
    </row>
    <row r="118" spans="1:23" x14ac:dyDescent="0.35">
      <c r="W118" s="10"/>
    </row>
    <row r="119" spans="1:23" x14ac:dyDescent="0.35">
      <c r="A119" s="22" t="s">
        <v>153</v>
      </c>
      <c r="B119" s="23"/>
      <c r="E119" s="24"/>
      <c r="F119" s="24"/>
      <c r="L119" s="2"/>
    </row>
    <row r="120" spans="1:23" ht="31" x14ac:dyDescent="0.35">
      <c r="A120" s="46" t="s">
        <v>63</v>
      </c>
      <c r="B120" s="47" t="s">
        <v>57</v>
      </c>
      <c r="C120" s="47" t="s">
        <v>86</v>
      </c>
      <c r="D120" s="53" t="s">
        <v>61</v>
      </c>
      <c r="E120" s="45" t="s">
        <v>62</v>
      </c>
      <c r="F120" s="45" t="s">
        <v>64</v>
      </c>
      <c r="G120" s="45" t="s">
        <v>65</v>
      </c>
      <c r="H120" s="45" t="s">
        <v>132</v>
      </c>
      <c r="I120" s="45" t="s">
        <v>66</v>
      </c>
      <c r="J120" s="44" t="s">
        <v>67</v>
      </c>
      <c r="K120" s="44" t="s">
        <v>68</v>
      </c>
      <c r="L120" s="2"/>
    </row>
    <row r="121" spans="1:23" x14ac:dyDescent="0.35">
      <c r="A121" s="14" t="s">
        <v>85</v>
      </c>
      <c r="B121" s="15">
        <v>1</v>
      </c>
      <c r="C121" s="16">
        <v>43829</v>
      </c>
      <c r="D121" s="2">
        <f>SUM(weekly_covid_deaths_by_age_males[[#This Row],[&lt;1]:[85+]])</f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/>
    </row>
    <row r="122" spans="1:23" x14ac:dyDescent="0.35">
      <c r="A122" s="14" t="s">
        <v>85</v>
      </c>
      <c r="B122" s="15">
        <v>2</v>
      </c>
      <c r="C122" s="16">
        <v>43836</v>
      </c>
      <c r="D122" s="2">
        <f>SUM(weekly_covid_deaths_by_age_males[[#This Row],[&lt;1]:[85+]])</f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/>
    </row>
    <row r="123" spans="1:23" x14ac:dyDescent="0.35">
      <c r="A123" s="14" t="s">
        <v>85</v>
      </c>
      <c r="B123" s="15">
        <v>3</v>
      </c>
      <c r="C123" s="16">
        <v>43843</v>
      </c>
      <c r="D123" s="2">
        <f>SUM(weekly_covid_deaths_by_age_males[[#This Row],[&lt;1]:[85+]])</f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/>
    </row>
    <row r="124" spans="1:23" x14ac:dyDescent="0.35">
      <c r="A124" s="14" t="s">
        <v>85</v>
      </c>
      <c r="B124" s="15">
        <v>4</v>
      </c>
      <c r="C124" s="16">
        <v>43850</v>
      </c>
      <c r="D124" s="2">
        <f>SUM(weekly_covid_deaths_by_age_males[[#This Row],[&lt;1]:[85+]])</f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/>
    </row>
    <row r="125" spans="1:23" x14ac:dyDescent="0.35">
      <c r="A125" s="14" t="s">
        <v>85</v>
      </c>
      <c r="B125" s="15">
        <v>5</v>
      </c>
      <c r="C125" s="16">
        <v>43857</v>
      </c>
      <c r="D125" s="2">
        <f>SUM(weekly_covid_deaths_by_age_males[[#This Row],[&lt;1]:[85+]])</f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/>
    </row>
    <row r="126" spans="1:23" x14ac:dyDescent="0.35">
      <c r="A126" s="14" t="s">
        <v>85</v>
      </c>
      <c r="B126" s="15">
        <v>6</v>
      </c>
      <c r="C126" s="16">
        <v>43864</v>
      </c>
      <c r="D126" s="2">
        <f>SUM(weekly_covid_deaths_by_age_males[[#This Row],[&lt;1]:[85+]])</f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/>
    </row>
    <row r="127" spans="1:23" x14ac:dyDescent="0.35">
      <c r="A127" s="14" t="s">
        <v>85</v>
      </c>
      <c r="B127" s="15">
        <v>7</v>
      </c>
      <c r="C127" s="16">
        <v>43871</v>
      </c>
      <c r="D127" s="2">
        <f>SUM(weekly_covid_deaths_by_age_males[[#This Row],[&lt;1]:[85+]])</f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/>
    </row>
    <row r="128" spans="1:23" x14ac:dyDescent="0.35">
      <c r="A128" s="14" t="s">
        <v>85</v>
      </c>
      <c r="B128" s="15">
        <v>8</v>
      </c>
      <c r="C128" s="16">
        <v>43878</v>
      </c>
      <c r="D128" s="2">
        <f>SUM(weekly_covid_deaths_by_age_males[[#This Row],[&lt;1]:[85+]])</f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/>
    </row>
    <row r="129" spans="1:12" x14ac:dyDescent="0.35">
      <c r="A129" s="14" t="s">
        <v>85</v>
      </c>
      <c r="B129" s="15">
        <v>9</v>
      </c>
      <c r="C129" s="16">
        <v>43885</v>
      </c>
      <c r="D129" s="2">
        <f>SUM(weekly_covid_deaths_by_age_males[[#This Row],[&lt;1]:[85+]])</f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5"/>
    </row>
    <row r="130" spans="1:12" x14ac:dyDescent="0.35">
      <c r="A130" s="14" t="s">
        <v>85</v>
      </c>
      <c r="B130" s="15">
        <v>10</v>
      </c>
      <c r="C130" s="16">
        <v>43892</v>
      </c>
      <c r="D130" s="2">
        <f>SUM(weekly_covid_deaths_by_age_males[[#This Row],[&lt;1]:[85+]])</f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5"/>
    </row>
    <row r="131" spans="1:12" x14ac:dyDescent="0.35">
      <c r="A131" s="14" t="s">
        <v>85</v>
      </c>
      <c r="B131" s="15">
        <v>11</v>
      </c>
      <c r="C131" s="16">
        <v>43899</v>
      </c>
      <c r="D131" s="2">
        <f>SUM(weekly_covid_deaths_by_age_males[[#This Row],[&lt;1]:[85+]])</f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/>
    </row>
    <row r="132" spans="1:12" x14ac:dyDescent="0.35">
      <c r="A132" s="14" t="s">
        <v>85</v>
      </c>
      <c r="B132" s="15">
        <v>12</v>
      </c>
      <c r="C132" s="16">
        <v>43906</v>
      </c>
      <c r="D132" s="2">
        <f>SUM(weekly_covid_deaths_by_age_males[[#This Row],[&lt;1]:[85+]])</f>
        <v>6</v>
      </c>
      <c r="E132" s="2">
        <v>0</v>
      </c>
      <c r="F132" s="2">
        <v>0</v>
      </c>
      <c r="G132" s="2">
        <v>0</v>
      </c>
      <c r="H132" s="2">
        <v>0</v>
      </c>
      <c r="I132" s="2">
        <v>2</v>
      </c>
      <c r="J132" s="2">
        <v>3</v>
      </c>
      <c r="K132" s="2">
        <v>1</v>
      </c>
      <c r="L132" s="18"/>
    </row>
    <row r="133" spans="1:12" x14ac:dyDescent="0.35">
      <c r="A133" s="14" t="s">
        <v>85</v>
      </c>
      <c r="B133" s="15">
        <v>13</v>
      </c>
      <c r="C133" s="16">
        <v>43913</v>
      </c>
      <c r="D133" s="2">
        <f>SUM(weekly_covid_deaths_by_age_males[[#This Row],[&lt;1]:[85+]])</f>
        <v>36</v>
      </c>
      <c r="E133" s="2">
        <v>0</v>
      </c>
      <c r="F133" s="2">
        <v>0</v>
      </c>
      <c r="G133" s="2">
        <v>0</v>
      </c>
      <c r="H133" s="2">
        <v>9</v>
      </c>
      <c r="I133" s="2">
        <v>8</v>
      </c>
      <c r="J133" s="2">
        <v>15</v>
      </c>
      <c r="K133" s="2">
        <v>4</v>
      </c>
      <c r="L133" s="19"/>
    </row>
    <row r="134" spans="1:12" x14ac:dyDescent="0.35">
      <c r="A134" s="14" t="s">
        <v>85</v>
      </c>
      <c r="B134" s="15">
        <v>14</v>
      </c>
      <c r="C134" s="16">
        <v>43920</v>
      </c>
      <c r="D134" s="2">
        <f>SUM(weekly_covid_deaths_by_age_males[[#This Row],[&lt;1]:[85+]])</f>
        <v>155</v>
      </c>
      <c r="E134" s="25">
        <v>0</v>
      </c>
      <c r="F134" s="25">
        <v>0</v>
      </c>
      <c r="G134" s="25">
        <v>2</v>
      </c>
      <c r="H134" s="25">
        <v>18</v>
      </c>
      <c r="I134" s="25">
        <v>47</v>
      </c>
      <c r="J134" s="25">
        <v>57</v>
      </c>
      <c r="K134" s="25">
        <v>31</v>
      </c>
      <c r="L134" s="19"/>
    </row>
    <row r="135" spans="1:12" x14ac:dyDescent="0.35">
      <c r="A135" s="14" t="s">
        <v>85</v>
      </c>
      <c r="B135" s="15">
        <v>15</v>
      </c>
      <c r="C135" s="16">
        <v>43927</v>
      </c>
      <c r="D135" s="2">
        <f>SUM(weekly_covid_deaths_by_age_males[[#This Row],[&lt;1]:[85+]])</f>
        <v>348</v>
      </c>
      <c r="E135" s="19">
        <v>0</v>
      </c>
      <c r="F135" s="19">
        <v>0</v>
      </c>
      <c r="G135" s="19">
        <v>2</v>
      </c>
      <c r="H135" s="19">
        <v>46</v>
      </c>
      <c r="I135" s="19">
        <v>68</v>
      </c>
      <c r="J135" s="19">
        <v>131</v>
      </c>
      <c r="K135" s="19">
        <v>101</v>
      </c>
      <c r="L135" s="19"/>
    </row>
    <row r="136" spans="1:12" x14ac:dyDescent="0.35">
      <c r="A136" s="14" t="s">
        <v>85</v>
      </c>
      <c r="B136" s="15">
        <v>16</v>
      </c>
      <c r="C136" s="16">
        <v>43934</v>
      </c>
      <c r="D136" s="2">
        <f>SUM(weekly_covid_deaths_by_age_males[[#This Row],[&lt;1]:[85+]])</f>
        <v>341</v>
      </c>
      <c r="E136" s="19">
        <v>0</v>
      </c>
      <c r="F136" s="19">
        <v>0</v>
      </c>
      <c r="G136" s="19">
        <v>1</v>
      </c>
      <c r="H136" s="19">
        <v>31</v>
      </c>
      <c r="I136" s="19">
        <v>49</v>
      </c>
      <c r="J136" s="19">
        <v>129</v>
      </c>
      <c r="K136" s="19">
        <v>131</v>
      </c>
      <c r="L136" s="19"/>
    </row>
    <row r="137" spans="1:12" x14ac:dyDescent="0.35">
      <c r="A137" s="14" t="s">
        <v>85</v>
      </c>
      <c r="B137" s="15">
        <v>17</v>
      </c>
      <c r="C137" s="16">
        <v>43941</v>
      </c>
      <c r="D137" s="2">
        <f>SUM(weekly_covid_deaths_by_age_males[[#This Row],[&lt;1]:[85+]])</f>
        <v>317</v>
      </c>
      <c r="E137" s="19">
        <v>0</v>
      </c>
      <c r="F137" s="19">
        <v>0</v>
      </c>
      <c r="G137" s="19">
        <v>4</v>
      </c>
      <c r="H137" s="19">
        <v>38</v>
      </c>
      <c r="I137" s="19">
        <v>57</v>
      </c>
      <c r="J137" s="19">
        <v>122</v>
      </c>
      <c r="K137" s="19">
        <v>96</v>
      </c>
      <c r="L137" s="19"/>
    </row>
    <row r="138" spans="1:12" x14ac:dyDescent="0.35">
      <c r="A138" s="14" t="s">
        <v>85</v>
      </c>
      <c r="B138" s="15">
        <v>18</v>
      </c>
      <c r="C138" s="16">
        <v>43948</v>
      </c>
      <c r="D138" s="19">
        <f>SUM(weekly_covid_deaths_by_age_males[[#This Row],[&lt;1]:[85+]])</f>
        <v>248</v>
      </c>
      <c r="E138" s="19">
        <v>0</v>
      </c>
      <c r="F138" s="19">
        <v>0</v>
      </c>
      <c r="G138" s="19">
        <v>0</v>
      </c>
      <c r="H138" s="19">
        <v>26</v>
      </c>
      <c r="I138" s="19">
        <v>48</v>
      </c>
      <c r="J138" s="19">
        <v>78</v>
      </c>
      <c r="K138" s="19">
        <v>96</v>
      </c>
      <c r="L138" s="19"/>
    </row>
    <row r="139" spans="1:12" x14ac:dyDescent="0.35">
      <c r="A139" s="14" t="s">
        <v>85</v>
      </c>
      <c r="B139" s="15">
        <v>19</v>
      </c>
      <c r="C139" s="16">
        <v>43955</v>
      </c>
      <c r="D139" s="19">
        <f>SUM(weekly_covid_deaths_by_age_males[[#This Row],[&lt;1]:[85+]])</f>
        <v>194</v>
      </c>
      <c r="E139" s="19">
        <v>0</v>
      </c>
      <c r="F139" s="19">
        <v>0</v>
      </c>
      <c r="G139" s="19">
        <v>1</v>
      </c>
      <c r="H139" s="19">
        <v>19</v>
      </c>
      <c r="I139" s="19">
        <v>30</v>
      </c>
      <c r="J139" s="19">
        <v>79</v>
      </c>
      <c r="K139" s="19">
        <v>65</v>
      </c>
      <c r="L139" s="19"/>
    </row>
    <row r="140" spans="1:12" x14ac:dyDescent="0.35">
      <c r="A140" s="14" t="s">
        <v>85</v>
      </c>
      <c r="B140" s="15">
        <v>20</v>
      </c>
      <c r="C140" s="16">
        <v>43962</v>
      </c>
      <c r="D140" s="19">
        <f>SUM(weekly_covid_deaths_by_age_males[[#This Row],[&lt;1]:[85+]])</f>
        <v>155</v>
      </c>
      <c r="E140" s="19">
        <v>0</v>
      </c>
      <c r="F140" s="19">
        <v>0</v>
      </c>
      <c r="G140" s="19">
        <v>2</v>
      </c>
      <c r="H140" s="19">
        <v>15</v>
      </c>
      <c r="I140" s="19">
        <v>26</v>
      </c>
      <c r="J140" s="19">
        <v>51</v>
      </c>
      <c r="K140" s="19">
        <v>61</v>
      </c>
      <c r="L140" s="19"/>
    </row>
    <row r="141" spans="1:12" x14ac:dyDescent="0.35">
      <c r="A141" s="14" t="s">
        <v>85</v>
      </c>
      <c r="B141" s="15">
        <v>21</v>
      </c>
      <c r="C141" s="16">
        <v>43969</v>
      </c>
      <c r="D141" s="19">
        <f>SUM(weekly_covid_deaths_by_age_males[[#This Row],[&lt;1]:[85+]])</f>
        <v>107</v>
      </c>
      <c r="E141" s="19">
        <v>0</v>
      </c>
      <c r="F141" s="19">
        <v>0</v>
      </c>
      <c r="G141" s="19">
        <v>0</v>
      </c>
      <c r="H141" s="19">
        <v>7</v>
      </c>
      <c r="I141" s="19">
        <v>19</v>
      </c>
      <c r="J141" s="19">
        <v>30</v>
      </c>
      <c r="K141" s="19">
        <v>51</v>
      </c>
      <c r="L141" s="19"/>
    </row>
    <row r="142" spans="1:12" x14ac:dyDescent="0.35">
      <c r="A142" s="14" t="s">
        <v>85</v>
      </c>
      <c r="B142" s="15">
        <v>22</v>
      </c>
      <c r="C142" s="16">
        <v>43976</v>
      </c>
      <c r="D142" s="25">
        <f>SUM(weekly_covid_deaths_by_age_males[[#This Row],[&lt;1]:[85+]])</f>
        <v>62</v>
      </c>
      <c r="E142" s="19">
        <v>0</v>
      </c>
      <c r="F142" s="19">
        <v>0</v>
      </c>
      <c r="G142" s="19">
        <v>0</v>
      </c>
      <c r="H142" s="19">
        <v>4</v>
      </c>
      <c r="I142" s="19">
        <v>8</v>
      </c>
      <c r="J142" s="19">
        <v>25</v>
      </c>
      <c r="K142" s="19">
        <v>25</v>
      </c>
      <c r="L142" s="19"/>
    </row>
    <row r="143" spans="1:12" x14ac:dyDescent="0.35">
      <c r="A143" s="14" t="s">
        <v>85</v>
      </c>
      <c r="B143" s="15">
        <v>23</v>
      </c>
      <c r="C143" s="16">
        <v>43983</v>
      </c>
      <c r="D143" s="19">
        <f>SUM(weekly_covid_deaths_by_age_males[[#This Row],[&lt;1]:[85+]])</f>
        <v>44</v>
      </c>
      <c r="E143" s="19">
        <v>0</v>
      </c>
      <c r="F143" s="19">
        <v>0</v>
      </c>
      <c r="G143" s="19">
        <v>3</v>
      </c>
      <c r="H143" s="19">
        <v>7</v>
      </c>
      <c r="I143" s="19">
        <v>4</v>
      </c>
      <c r="J143" s="19">
        <v>14</v>
      </c>
      <c r="K143" s="19">
        <v>16</v>
      </c>
      <c r="L143" s="19"/>
    </row>
    <row r="144" spans="1:12" x14ac:dyDescent="0.35">
      <c r="A144" s="14" t="s">
        <v>85</v>
      </c>
      <c r="B144" s="15">
        <v>24</v>
      </c>
      <c r="C144" s="16">
        <v>43990</v>
      </c>
      <c r="D144" s="19">
        <f>SUM(weekly_covid_deaths_by_age_males[[#This Row],[&lt;1]:[85+]])</f>
        <v>25</v>
      </c>
      <c r="E144" s="19">
        <v>0</v>
      </c>
      <c r="F144" s="19">
        <v>0</v>
      </c>
      <c r="G144" s="19">
        <v>0</v>
      </c>
      <c r="H144" s="19">
        <v>2</v>
      </c>
      <c r="I144" s="19">
        <v>3</v>
      </c>
      <c r="J144" s="19">
        <v>12</v>
      </c>
      <c r="K144" s="19">
        <v>8</v>
      </c>
      <c r="L144" s="19"/>
    </row>
    <row r="145" spans="1:12" x14ac:dyDescent="0.35">
      <c r="A145" s="14" t="s">
        <v>85</v>
      </c>
      <c r="B145" s="15">
        <v>25</v>
      </c>
      <c r="C145" s="16">
        <v>43997</v>
      </c>
      <c r="D145" s="19">
        <f>SUM(weekly_covid_deaths_by_age_males[[#This Row],[&lt;1]:[85+]])</f>
        <v>19</v>
      </c>
      <c r="E145" s="19">
        <v>0</v>
      </c>
      <c r="F145" s="19">
        <v>0</v>
      </c>
      <c r="G145" s="19">
        <v>0</v>
      </c>
      <c r="H145" s="19">
        <v>1</v>
      </c>
      <c r="I145" s="19">
        <v>0</v>
      </c>
      <c r="J145" s="19">
        <v>7</v>
      </c>
      <c r="K145" s="19">
        <v>11</v>
      </c>
      <c r="L145" s="19"/>
    </row>
    <row r="146" spans="1:12" x14ac:dyDescent="0.35">
      <c r="A146" s="14" t="s">
        <v>85</v>
      </c>
      <c r="B146" s="15">
        <v>26</v>
      </c>
      <c r="C146" s="16">
        <v>44004</v>
      </c>
      <c r="D146" s="2">
        <f>SUM(weekly_covid_deaths_by_age_males[[#This Row],[&lt;1]:[85+]])</f>
        <v>17</v>
      </c>
      <c r="E146" s="19">
        <v>0</v>
      </c>
      <c r="F146" s="19">
        <v>0</v>
      </c>
      <c r="G146" s="19">
        <v>0</v>
      </c>
      <c r="H146" s="19">
        <v>3</v>
      </c>
      <c r="I146" s="19">
        <v>4</v>
      </c>
      <c r="J146" s="19">
        <v>6</v>
      </c>
      <c r="K146" s="19">
        <v>4</v>
      </c>
      <c r="L146" s="19"/>
    </row>
    <row r="147" spans="1:12" x14ac:dyDescent="0.35">
      <c r="A147" s="14" t="s">
        <v>85</v>
      </c>
      <c r="B147" s="15">
        <v>27</v>
      </c>
      <c r="C147" s="16">
        <v>44011</v>
      </c>
      <c r="D147" s="19">
        <f>SUM(weekly_covid_deaths_by_age_males[[#This Row],[&lt;1]:[85+]])</f>
        <v>8</v>
      </c>
      <c r="E147" s="19">
        <v>0</v>
      </c>
      <c r="F147" s="19">
        <v>0</v>
      </c>
      <c r="G147" s="19">
        <v>0</v>
      </c>
      <c r="H147" s="19">
        <v>2</v>
      </c>
      <c r="I147" s="19">
        <v>0</v>
      </c>
      <c r="J147" s="19">
        <v>5</v>
      </c>
      <c r="K147" s="19">
        <v>1</v>
      </c>
      <c r="L147" s="19"/>
    </row>
    <row r="148" spans="1:12" x14ac:dyDescent="0.35">
      <c r="A148" s="14" t="s">
        <v>85</v>
      </c>
      <c r="B148" s="15">
        <v>28</v>
      </c>
      <c r="C148" s="16">
        <v>44018</v>
      </c>
      <c r="D148" s="19">
        <f>SUM(weekly_covid_deaths_by_age_males[[#This Row],[&lt;1]:[85+]])</f>
        <v>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3</v>
      </c>
      <c r="K148" s="19">
        <v>2</v>
      </c>
      <c r="L148" s="19"/>
    </row>
    <row r="149" spans="1:12" x14ac:dyDescent="0.35">
      <c r="A149" s="14" t="s">
        <v>85</v>
      </c>
      <c r="B149" s="15">
        <v>29</v>
      </c>
      <c r="C149" s="16">
        <v>44025</v>
      </c>
      <c r="D149" s="2">
        <f>SUM(weekly_covid_deaths_by_age_males[[#This Row],[&lt;1]:[85+]])</f>
        <v>2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2</v>
      </c>
      <c r="K149" s="19">
        <v>0</v>
      </c>
      <c r="L149" s="19"/>
    </row>
    <row r="150" spans="1:12" x14ac:dyDescent="0.35">
      <c r="A150" s="14" t="s">
        <v>85</v>
      </c>
      <c r="B150" s="15">
        <v>30</v>
      </c>
      <c r="C150" s="16">
        <v>44032</v>
      </c>
      <c r="D150" s="2">
        <f>SUM(weekly_covid_deaths_by_age_males[[#This Row],[&lt;1]:[85+]])</f>
        <v>3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3</v>
      </c>
      <c r="K150" s="19">
        <v>0</v>
      </c>
      <c r="L150" s="19"/>
    </row>
    <row r="151" spans="1:12" x14ac:dyDescent="0.35">
      <c r="A151" s="14" t="s">
        <v>85</v>
      </c>
      <c r="B151" s="15">
        <v>31</v>
      </c>
      <c r="C151" s="16">
        <v>44039</v>
      </c>
      <c r="D151" s="19">
        <f>SUM(weekly_covid_deaths_by_age_males[[#This Row],[&lt;1]:[85+]])</f>
        <v>2</v>
      </c>
      <c r="E151" s="19">
        <v>0</v>
      </c>
      <c r="F151" s="19">
        <v>0</v>
      </c>
      <c r="G151" s="19">
        <v>0</v>
      </c>
      <c r="H151" s="19">
        <v>1</v>
      </c>
      <c r="I151" s="19">
        <v>1</v>
      </c>
      <c r="J151" s="19">
        <v>0</v>
      </c>
      <c r="K151" s="19">
        <v>0</v>
      </c>
      <c r="L151" s="19"/>
    </row>
    <row r="152" spans="1:12" x14ac:dyDescent="0.35">
      <c r="A152" s="14" t="s">
        <v>85</v>
      </c>
      <c r="B152" s="15">
        <v>32</v>
      </c>
      <c r="C152" s="16">
        <v>44046</v>
      </c>
      <c r="D152" s="19">
        <f>SUM(weekly_covid_deaths_by_age_males[[#This Row],[&lt;1]:[85+]])</f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/>
    </row>
    <row r="153" spans="1:12" x14ac:dyDescent="0.35">
      <c r="A153" s="14" t="s">
        <v>85</v>
      </c>
      <c r="B153" s="15">
        <v>33</v>
      </c>
      <c r="C153" s="16">
        <v>44053</v>
      </c>
      <c r="D153" s="19">
        <f>SUM(weekly_covid_deaths_by_age_males[[#This Row],[&lt;1]:[85+]])</f>
        <v>1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0</v>
      </c>
      <c r="K153" s="19">
        <v>0</v>
      </c>
      <c r="L153" s="19"/>
    </row>
    <row r="154" spans="1:12" x14ac:dyDescent="0.35">
      <c r="A154" s="14" t="s">
        <v>85</v>
      </c>
      <c r="B154" s="15">
        <v>34</v>
      </c>
      <c r="C154" s="16">
        <v>44060</v>
      </c>
      <c r="D154" s="19">
        <f>SUM(weekly_covid_deaths_by_age_males[[#This Row],[&lt;1]:[85+]])</f>
        <v>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1</v>
      </c>
      <c r="K154" s="19">
        <v>0</v>
      </c>
      <c r="L154" s="19"/>
    </row>
    <row r="155" spans="1:12" x14ac:dyDescent="0.35">
      <c r="A155" s="14" t="s">
        <v>85</v>
      </c>
      <c r="B155" s="15">
        <v>35</v>
      </c>
      <c r="C155" s="16">
        <v>44067</v>
      </c>
      <c r="D155" s="19">
        <f>SUM(weekly_covid_deaths_by_age_males[[#This Row],[&lt;1]:[85+]])</f>
        <v>4</v>
      </c>
      <c r="E155" s="19">
        <v>0</v>
      </c>
      <c r="F155" s="19">
        <v>0</v>
      </c>
      <c r="G155" s="19">
        <v>0</v>
      </c>
      <c r="H155" s="19">
        <v>1</v>
      </c>
      <c r="I155" s="19">
        <v>0</v>
      </c>
      <c r="J155" s="19">
        <v>1</v>
      </c>
      <c r="K155" s="19">
        <v>2</v>
      </c>
      <c r="L155" s="19"/>
    </row>
    <row r="156" spans="1:12" x14ac:dyDescent="0.35">
      <c r="A156" s="14" t="s">
        <v>85</v>
      </c>
      <c r="B156" s="15">
        <v>36</v>
      </c>
      <c r="C156" s="16">
        <v>44074</v>
      </c>
      <c r="D156" s="19">
        <f>SUM(weekly_covid_deaths_by_age_males[[#This Row],[&lt;1]:[85+]])</f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/>
    </row>
    <row r="157" spans="1:12" x14ac:dyDescent="0.35">
      <c r="A157" s="14" t="s">
        <v>85</v>
      </c>
      <c r="B157" s="15">
        <v>37</v>
      </c>
      <c r="C157" s="16">
        <v>44081</v>
      </c>
      <c r="D157" s="19">
        <f>SUM(weekly_covid_deaths_by_age_males[[#This Row],[&lt;1]:[85+]])</f>
        <v>4</v>
      </c>
      <c r="E157" s="19">
        <v>0</v>
      </c>
      <c r="F157" s="19">
        <v>0</v>
      </c>
      <c r="G157" s="19">
        <v>0</v>
      </c>
      <c r="H157" s="19">
        <v>0</v>
      </c>
      <c r="I157" s="19">
        <v>1</v>
      </c>
      <c r="J157" s="19">
        <v>3</v>
      </c>
      <c r="K157" s="19">
        <v>0</v>
      </c>
      <c r="L157" s="19"/>
    </row>
    <row r="158" spans="1:12" x14ac:dyDescent="0.35">
      <c r="A158" s="14" t="s">
        <v>85</v>
      </c>
      <c r="B158" s="15">
        <v>38</v>
      </c>
      <c r="C158" s="16">
        <v>44088</v>
      </c>
      <c r="D158" s="25">
        <f>SUM(weekly_covid_deaths_by_age_males[[#This Row],[&lt;1]:[85+]])</f>
        <v>6</v>
      </c>
      <c r="E158" s="19">
        <v>0</v>
      </c>
      <c r="F158" s="19">
        <v>0</v>
      </c>
      <c r="G158" s="19">
        <v>0</v>
      </c>
      <c r="H158" s="19">
        <v>2</v>
      </c>
      <c r="I158" s="19">
        <v>0</v>
      </c>
      <c r="J158" s="19">
        <v>1</v>
      </c>
      <c r="K158" s="19">
        <v>3</v>
      </c>
      <c r="L158" s="19"/>
    </row>
    <row r="159" spans="1:12" x14ac:dyDescent="0.35">
      <c r="A159" s="14" t="s">
        <v>85</v>
      </c>
      <c r="B159" s="15">
        <v>39</v>
      </c>
      <c r="C159" s="16">
        <v>44095</v>
      </c>
      <c r="D159" s="19">
        <f>SUM(weekly_covid_deaths_by_age_males[[#This Row],[&lt;1]:[85+]])</f>
        <v>7</v>
      </c>
      <c r="E159" s="19">
        <v>0</v>
      </c>
      <c r="F159" s="19">
        <v>0</v>
      </c>
      <c r="G159" s="19">
        <v>0</v>
      </c>
      <c r="H159" s="19">
        <v>1</v>
      </c>
      <c r="I159" s="19">
        <v>0</v>
      </c>
      <c r="J159" s="19">
        <v>3</v>
      </c>
      <c r="K159" s="19">
        <v>3</v>
      </c>
      <c r="L159" s="19"/>
    </row>
    <row r="160" spans="1:12" x14ac:dyDescent="0.35">
      <c r="A160" s="14" t="s">
        <v>85</v>
      </c>
      <c r="B160" s="15">
        <v>40</v>
      </c>
      <c r="C160" s="16">
        <v>44102</v>
      </c>
      <c r="D160" s="19">
        <f>SUM(weekly_covid_deaths_by_age_males[[#This Row],[&lt;1]:[85+]])</f>
        <v>11</v>
      </c>
      <c r="E160" s="19">
        <v>0</v>
      </c>
      <c r="F160" s="19">
        <v>0</v>
      </c>
      <c r="G160" s="19">
        <v>0</v>
      </c>
      <c r="H160" s="19">
        <v>1</v>
      </c>
      <c r="I160" s="19">
        <v>3</v>
      </c>
      <c r="J160" s="19">
        <v>7</v>
      </c>
      <c r="K160" s="19">
        <v>0</v>
      </c>
      <c r="L160" s="19"/>
    </row>
    <row r="161" spans="1:12" x14ac:dyDescent="0.35">
      <c r="A161" s="14" t="s">
        <v>85</v>
      </c>
      <c r="B161" s="15">
        <v>41</v>
      </c>
      <c r="C161" s="16">
        <v>44109</v>
      </c>
      <c r="D161" s="19">
        <f>SUM(weekly_covid_deaths_by_age_males[[#This Row],[&lt;1]:[85+]])</f>
        <v>14</v>
      </c>
      <c r="E161" s="19">
        <v>0</v>
      </c>
      <c r="F161" s="19">
        <v>0</v>
      </c>
      <c r="G161" s="19">
        <v>0</v>
      </c>
      <c r="H161" s="19">
        <v>1</v>
      </c>
      <c r="I161" s="19">
        <v>3</v>
      </c>
      <c r="J161" s="19">
        <v>6</v>
      </c>
      <c r="K161" s="19">
        <v>4</v>
      </c>
      <c r="L161" s="19"/>
    </row>
    <row r="162" spans="1:12" x14ac:dyDescent="0.35">
      <c r="A162" s="14" t="s">
        <v>85</v>
      </c>
      <c r="B162" s="15">
        <v>42</v>
      </c>
      <c r="C162" s="16">
        <v>44116</v>
      </c>
      <c r="D162" s="19">
        <f>SUM(weekly_covid_deaths_by_age_males[[#This Row],[&lt;1]:[85+]])</f>
        <v>44</v>
      </c>
      <c r="E162" s="19">
        <v>0</v>
      </c>
      <c r="F162" s="19">
        <v>0</v>
      </c>
      <c r="G162" s="19">
        <v>2</v>
      </c>
      <c r="H162" s="19">
        <v>6</v>
      </c>
      <c r="I162" s="19">
        <v>2</v>
      </c>
      <c r="J162" s="19">
        <v>26</v>
      </c>
      <c r="K162" s="19">
        <v>8</v>
      </c>
      <c r="L162" s="18"/>
    </row>
    <row r="163" spans="1:12" x14ac:dyDescent="0.35">
      <c r="A163" s="14" t="s">
        <v>85</v>
      </c>
      <c r="B163" s="15">
        <v>43</v>
      </c>
      <c r="C163" s="16">
        <v>44123</v>
      </c>
      <c r="D163" s="19">
        <f>SUM(weekly_covid_deaths_by_age_males[[#This Row],[&lt;1]:[85+]])</f>
        <v>62</v>
      </c>
      <c r="E163" s="19">
        <v>0</v>
      </c>
      <c r="F163" s="19">
        <v>0</v>
      </c>
      <c r="G163" s="19">
        <v>2</v>
      </c>
      <c r="H163" s="19">
        <v>10</v>
      </c>
      <c r="I163" s="19">
        <v>15</v>
      </c>
      <c r="J163" s="19">
        <v>22</v>
      </c>
      <c r="K163" s="19">
        <v>13</v>
      </c>
      <c r="L163" s="19"/>
    </row>
    <row r="164" spans="1:12" x14ac:dyDescent="0.35">
      <c r="A164" s="14" t="s">
        <v>85</v>
      </c>
      <c r="B164" s="15">
        <v>44</v>
      </c>
      <c r="C164" s="16">
        <v>44130</v>
      </c>
      <c r="D164" s="25">
        <f>SUM(weekly_covid_deaths_by_age_males[[#This Row],[&lt;1]:[85+]])</f>
        <v>98</v>
      </c>
      <c r="E164" s="25">
        <v>0</v>
      </c>
      <c r="F164" s="25">
        <v>0</v>
      </c>
      <c r="G164" s="25">
        <v>0</v>
      </c>
      <c r="H164" s="25">
        <v>8</v>
      </c>
      <c r="I164" s="25">
        <v>24</v>
      </c>
      <c r="J164" s="25">
        <v>33</v>
      </c>
      <c r="K164" s="25">
        <v>33</v>
      </c>
      <c r="L164" s="19"/>
    </row>
    <row r="165" spans="1:12" x14ac:dyDescent="0.35">
      <c r="A165" s="14" t="s">
        <v>85</v>
      </c>
      <c r="B165" s="15">
        <v>45</v>
      </c>
      <c r="C165" s="16">
        <v>44137</v>
      </c>
      <c r="D165" s="19">
        <f>SUM(weekly_covid_deaths_by_age_males[[#This Row],[&lt;1]:[85+]])</f>
        <v>105</v>
      </c>
      <c r="E165" s="19">
        <v>0</v>
      </c>
      <c r="F165" s="19">
        <v>0</v>
      </c>
      <c r="G165" s="19">
        <v>0</v>
      </c>
      <c r="H165" s="19">
        <v>12</v>
      </c>
      <c r="I165" s="19">
        <v>17</v>
      </c>
      <c r="J165" s="19">
        <v>40</v>
      </c>
      <c r="K165" s="19">
        <v>36</v>
      </c>
      <c r="L165" s="18"/>
    </row>
    <row r="166" spans="1:12" x14ac:dyDescent="0.35">
      <c r="A166" s="14" t="s">
        <v>85</v>
      </c>
      <c r="B166" s="15">
        <v>46</v>
      </c>
      <c r="C166" s="16">
        <v>44144</v>
      </c>
      <c r="D166" s="2">
        <f>SUM(weekly_covid_deaths_by_age_males[[#This Row],[&lt;1]:[85+]])</f>
        <v>159</v>
      </c>
      <c r="E166" s="19">
        <v>0</v>
      </c>
      <c r="F166" s="19">
        <v>0</v>
      </c>
      <c r="G166" s="19">
        <v>1</v>
      </c>
      <c r="H166" s="19">
        <v>23</v>
      </c>
      <c r="I166" s="19">
        <v>33</v>
      </c>
      <c r="J166" s="19">
        <v>62</v>
      </c>
      <c r="K166" s="19">
        <v>40</v>
      </c>
    </row>
    <row r="167" spans="1:12" x14ac:dyDescent="0.35">
      <c r="A167" s="14" t="s">
        <v>85</v>
      </c>
      <c r="B167" s="15">
        <v>47</v>
      </c>
      <c r="C167" s="16">
        <v>44151</v>
      </c>
      <c r="D167" s="54">
        <f>SUM(weekly_covid_deaths_by_age_males[[#This Row],[&lt;1]:[85+]])</f>
        <v>128</v>
      </c>
      <c r="E167" s="25">
        <v>0</v>
      </c>
      <c r="F167" s="25">
        <v>0</v>
      </c>
      <c r="G167" s="25">
        <v>1</v>
      </c>
      <c r="H167" s="25">
        <v>23</v>
      </c>
      <c r="I167" s="25">
        <v>22</v>
      </c>
      <c r="J167" s="25">
        <v>49</v>
      </c>
      <c r="K167" s="25">
        <v>33</v>
      </c>
    </row>
    <row r="168" spans="1:12" x14ac:dyDescent="0.35">
      <c r="A168" s="14" t="s">
        <v>85</v>
      </c>
      <c r="B168" s="15">
        <v>48</v>
      </c>
      <c r="C168" s="16">
        <v>44158</v>
      </c>
      <c r="D168" s="54">
        <f>SUM(weekly_covid_deaths_by_age_males[[#This Row],[&lt;1]:[85+]])</f>
        <v>133</v>
      </c>
      <c r="E168" s="52">
        <v>0</v>
      </c>
      <c r="F168" s="52">
        <v>0</v>
      </c>
      <c r="G168" s="52">
        <v>0</v>
      </c>
      <c r="H168" s="52">
        <v>21</v>
      </c>
      <c r="I168" s="52">
        <v>23</v>
      </c>
      <c r="J168" s="52">
        <v>45</v>
      </c>
      <c r="K168" s="52">
        <v>44</v>
      </c>
    </row>
    <row r="169" spans="1:12" x14ac:dyDescent="0.35">
      <c r="A169" s="14" t="s">
        <v>85</v>
      </c>
      <c r="B169" s="15">
        <v>49</v>
      </c>
      <c r="C169" s="16">
        <v>44165</v>
      </c>
      <c r="D169" s="54">
        <f>SUM(weekly_covid_deaths_by_age_males[[#This Row],[&lt;1]:[85+]])</f>
        <v>128</v>
      </c>
      <c r="E169" s="52">
        <v>0</v>
      </c>
      <c r="F169" s="52">
        <v>0</v>
      </c>
      <c r="G169" s="52">
        <v>2</v>
      </c>
      <c r="H169" s="52">
        <v>16</v>
      </c>
      <c r="I169" s="52">
        <v>23</v>
      </c>
      <c r="J169" s="52">
        <v>37</v>
      </c>
      <c r="K169" s="52">
        <v>50</v>
      </c>
    </row>
    <row r="170" spans="1:12" x14ac:dyDescent="0.35">
      <c r="A170" s="14" t="s">
        <v>85</v>
      </c>
      <c r="B170" s="15">
        <v>50</v>
      </c>
      <c r="C170" s="16">
        <v>44172</v>
      </c>
      <c r="D170" s="54">
        <f>SUM(weekly_covid_deaths_by_age_males[[#This Row],[&lt;1]:[85+]])</f>
        <v>117</v>
      </c>
      <c r="E170" s="52">
        <v>0</v>
      </c>
      <c r="F170" s="52">
        <v>0</v>
      </c>
      <c r="G170" s="52">
        <v>0</v>
      </c>
      <c r="H170" s="52">
        <v>17</v>
      </c>
      <c r="I170" s="52">
        <v>17</v>
      </c>
      <c r="J170" s="52">
        <v>43</v>
      </c>
      <c r="K170" s="52">
        <v>40</v>
      </c>
    </row>
    <row r="171" spans="1:12" x14ac:dyDescent="0.35">
      <c r="A171" s="14" t="s">
        <v>85</v>
      </c>
      <c r="B171" s="15">
        <v>51</v>
      </c>
      <c r="C171" s="16">
        <v>44179</v>
      </c>
      <c r="D171" s="54">
        <f>SUM(weekly_covid_deaths_by_age_males[[#This Row],[&lt;1]:[85+]])</f>
        <v>110</v>
      </c>
      <c r="E171" s="52">
        <v>0</v>
      </c>
      <c r="F171" s="52">
        <v>0</v>
      </c>
      <c r="G171" s="52">
        <v>0</v>
      </c>
      <c r="H171" s="52">
        <v>9</v>
      </c>
      <c r="I171" s="52">
        <v>14</v>
      </c>
      <c r="J171" s="52">
        <v>45</v>
      </c>
      <c r="K171" s="52">
        <v>42</v>
      </c>
    </row>
    <row r="172" spans="1:12" x14ac:dyDescent="0.35">
      <c r="A172" s="14" t="s">
        <v>85</v>
      </c>
      <c r="B172" s="15">
        <v>52</v>
      </c>
      <c r="C172" s="16">
        <v>44186</v>
      </c>
      <c r="D172" s="54">
        <f>SUM(weekly_covid_deaths_by_age_males[[#This Row],[&lt;1]:[85+]])</f>
        <v>102</v>
      </c>
      <c r="E172" s="52">
        <v>0</v>
      </c>
      <c r="F172" s="52">
        <v>0</v>
      </c>
      <c r="G172" s="52">
        <v>0</v>
      </c>
      <c r="H172" s="52">
        <v>8</v>
      </c>
      <c r="I172" s="52">
        <v>34</v>
      </c>
      <c r="J172" s="52">
        <v>31</v>
      </c>
      <c r="K172" s="52">
        <v>29</v>
      </c>
    </row>
    <row r="173" spans="1:12" x14ac:dyDescent="0.35">
      <c r="A173" s="11" t="s">
        <v>85</v>
      </c>
      <c r="B173" s="15">
        <v>53</v>
      </c>
      <c r="C173" s="16">
        <v>44193</v>
      </c>
      <c r="D173" s="54">
        <f>SUM(weekly_covid_deaths_by_age_males[[#This Row],[&lt;1]:[85+]])</f>
        <v>90</v>
      </c>
      <c r="E173" s="52">
        <v>0</v>
      </c>
      <c r="F173" s="52">
        <v>0</v>
      </c>
      <c r="G173" s="52">
        <v>1</v>
      </c>
      <c r="H173" s="52">
        <v>9</v>
      </c>
      <c r="I173" s="52">
        <v>18</v>
      </c>
      <c r="J173" s="52">
        <v>29</v>
      </c>
      <c r="K173" s="52">
        <v>33</v>
      </c>
    </row>
    <row r="174" spans="1:12" x14ac:dyDescent="0.35">
      <c r="A174" s="64" t="s">
        <v>179</v>
      </c>
      <c r="B174" s="65" t="s">
        <v>179</v>
      </c>
      <c r="C174" s="65" t="s">
        <v>179</v>
      </c>
      <c r="D174" s="67">
        <f>SUBTOTAL(109,weekly_covid_deaths_by_age_males[All ages])</f>
        <v>3418</v>
      </c>
      <c r="E174" s="66">
        <f>SUBTOTAL(109,weekly_covid_deaths_by_age_males[&lt;1])</f>
        <v>0</v>
      </c>
      <c r="F174" s="66">
        <f>SUBTOTAL(109,weekly_covid_deaths_by_age_males[1-14])</f>
        <v>0</v>
      </c>
      <c r="G174" s="66">
        <f>SUBTOTAL(109,weekly_covid_deaths_by_age_males[15-44])</f>
        <v>24</v>
      </c>
      <c r="H174" s="66">
        <f>SUBTOTAL(109,weekly_covid_deaths_by_age_males[45-64])</f>
        <v>397</v>
      </c>
      <c r="I174" s="66">
        <f>SUBTOTAL(109,weekly_covid_deaths_by_age_males[65-74])</f>
        <v>624</v>
      </c>
      <c r="J174" s="66">
        <f>SUBTOTAL(109,weekly_covid_deaths_by_age_males[75-84])</f>
        <v>1256</v>
      </c>
      <c r="K174" s="66">
        <f>SUBTOTAL(109,weekly_covid_deaths_by_age_males[85+])</f>
        <v>1117</v>
      </c>
    </row>
  </sheetData>
  <hyperlinks>
    <hyperlink ref="A4" location="Contents!A1" display="Back to table of contents" xr:uid="{00000000-0004-0000-0300-000000000000}"/>
  </hyperlinks>
  <pageMargins left="0.7" right="0.7" top="0.75" bottom="0.75" header="0.3" footer="0.3"/>
  <pageSetup paperSize="9" orientation="portrait" horizontalDpi="90" verticalDpi="90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8"/>
  <sheetViews>
    <sheetView zoomScaleNormal="100" workbookViewId="0"/>
  </sheetViews>
  <sheetFormatPr defaultColWidth="9.26953125" defaultRowHeight="15.5" x14ac:dyDescent="0.35"/>
  <cols>
    <col min="1" max="12" width="16.7265625" style="10" customWidth="1"/>
    <col min="13" max="18" width="16.7265625" style="61" customWidth="1"/>
    <col min="19" max="16384" width="9.26953125" style="10"/>
  </cols>
  <sheetData>
    <row r="1" spans="1:18" s="5" customFormat="1" x14ac:dyDescent="0.35">
      <c r="A1" s="4" t="s">
        <v>164</v>
      </c>
      <c r="M1" s="18"/>
      <c r="N1" s="18"/>
      <c r="O1" s="18"/>
      <c r="P1" s="18"/>
      <c r="Q1" s="18"/>
      <c r="R1" s="18"/>
    </row>
    <row r="2" spans="1:18" s="5" customFormat="1" x14ac:dyDescent="0.35">
      <c r="A2" s="6" t="s">
        <v>109</v>
      </c>
      <c r="M2" s="18"/>
      <c r="N2" s="18"/>
      <c r="O2" s="18"/>
      <c r="P2" s="18"/>
      <c r="Q2" s="18"/>
      <c r="R2" s="18"/>
    </row>
    <row r="3" spans="1:18" s="5" customFormat="1" x14ac:dyDescent="0.35">
      <c r="A3" s="6" t="s">
        <v>49</v>
      </c>
      <c r="M3" s="18"/>
      <c r="N3" s="18"/>
      <c r="O3" s="18"/>
      <c r="P3" s="18"/>
      <c r="Q3" s="18"/>
      <c r="R3" s="18"/>
    </row>
    <row r="4" spans="1:18" s="5" customFormat="1" ht="30" customHeight="1" x14ac:dyDescent="0.35">
      <c r="A4" s="63" t="s">
        <v>53</v>
      </c>
      <c r="M4" s="18"/>
      <c r="N4" s="18"/>
      <c r="O4" s="18"/>
      <c r="P4" s="18"/>
      <c r="Q4" s="18"/>
      <c r="R4" s="18"/>
    </row>
    <row r="5" spans="1:18" ht="47.15" customHeight="1" thickBot="1" x14ac:dyDescent="0.4">
      <c r="A5" s="12" t="s">
        <v>63</v>
      </c>
      <c r="B5" s="13" t="s">
        <v>57</v>
      </c>
      <c r="C5" s="13" t="s">
        <v>86</v>
      </c>
      <c r="D5" s="8" t="s">
        <v>1</v>
      </c>
      <c r="E5" s="9" t="s">
        <v>69</v>
      </c>
      <c r="F5" s="9" t="s">
        <v>70</v>
      </c>
      <c r="G5" s="9" t="s">
        <v>8</v>
      </c>
      <c r="H5" s="9" t="s">
        <v>15</v>
      </c>
      <c r="I5" s="9" t="s">
        <v>71</v>
      </c>
      <c r="J5" s="9" t="s">
        <v>72</v>
      </c>
      <c r="K5" s="9" t="s">
        <v>73</v>
      </c>
      <c r="L5" s="7" t="s">
        <v>17</v>
      </c>
      <c r="M5" s="7" t="s">
        <v>74</v>
      </c>
      <c r="N5" s="7" t="s">
        <v>75</v>
      </c>
      <c r="O5" s="7" t="s">
        <v>76</v>
      </c>
      <c r="P5" s="7" t="s">
        <v>77</v>
      </c>
      <c r="Q5" s="7" t="s">
        <v>78</v>
      </c>
      <c r="R5" s="7" t="s">
        <v>79</v>
      </c>
    </row>
    <row r="6" spans="1:18" ht="30" customHeight="1" x14ac:dyDescent="0.35">
      <c r="A6" s="14" t="s">
        <v>85</v>
      </c>
      <c r="B6" s="15">
        <v>1</v>
      </c>
      <c r="C6" s="16">
        <v>43829</v>
      </c>
      <c r="D6" s="17">
        <f>SUM(weekly_covid_deaths_health_board[[#This Row],[Ayrshire and Arran]:[Western Isles]])</f>
        <v>0</v>
      </c>
      <c r="E6" s="1">
        <f>weekly_covid_deaths_council_area[[#This Row],[East Ayrshire]]+weekly_covid_deaths_council_area[[#This Row],[North Ayrshire]]+weekly_covid_deaths_council_area[[#This Row],[South Ayrshire]]</f>
        <v>0</v>
      </c>
      <c r="F6" s="1">
        <f>weekly_covid_deaths_council_area[[#This Row],[Scottish Borders ]]</f>
        <v>0</v>
      </c>
      <c r="G6" s="1">
        <f>weekly_covid_deaths_council_area[[#This Row],[Dumfries and Galloway]]</f>
        <v>0</v>
      </c>
      <c r="H6" s="1">
        <f>weekly_covid_deaths_council_area[[#This Row],[Fife]]</f>
        <v>0</v>
      </c>
      <c r="I6" s="1">
        <f>weekly_covid_deaths_council_area[[#This Row],[Clackmannanshire]]+weekly_covid_deaths_council_area[[#This Row],[Falkirk]]+weekly_covid_deaths_council_area[[#This Row],[Stirling]]</f>
        <v>0</v>
      </c>
      <c r="J6" s="1">
        <f>weekly_covid_deaths_council_area[[#This Row],[Aberdeen City]]+weekly_covid_deaths_council_area[[#This Row],[Aberdeenshire]]+weekly_covid_deaths_council_area[[#This Row],[Moray]]</f>
        <v>0</v>
      </c>
      <c r="K6" s="1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6" s="1">
        <f>weekly_covid_deaths_council_area[[#This Row],[Highland]]+weekly_covid_deaths_council_area[[#This Row],[Argyll and Bute]]</f>
        <v>0</v>
      </c>
      <c r="M6" s="1">
        <f>weekly_covid_deaths_council_area[[#This Row],[North Lanarkshire]]+weekly_covid_deaths_council_area[[#This Row],[South Lanarkshire]]</f>
        <v>0</v>
      </c>
      <c r="N6" s="1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6" s="1">
        <f>weekly_covid_deaths_council_area[[#This Row],[Orkney Islands]]</f>
        <v>0</v>
      </c>
      <c r="P6" s="1">
        <f>weekly_covid_deaths_council_area[[#This Row],[Shetland Islands]]</f>
        <v>0</v>
      </c>
      <c r="Q6" s="1">
        <f>weekly_covid_deaths_council_area[[#This Row],[Angus]]+weekly_covid_deaths_council_area[[#This Row],[Dundee City]]+weekly_covid_deaths_council_area[[#This Row],[Perth and Kinross]]</f>
        <v>0</v>
      </c>
      <c r="R6" s="1">
        <f>weekly_covid_deaths_council_area[[#This Row],[Na h-Eileanan Siar]]</f>
        <v>0</v>
      </c>
    </row>
    <row r="7" spans="1:18" ht="16.149999999999999" customHeight="1" x14ac:dyDescent="0.35">
      <c r="A7" s="14" t="s">
        <v>85</v>
      </c>
      <c r="B7" s="15">
        <v>2</v>
      </c>
      <c r="C7" s="16">
        <v>43836</v>
      </c>
      <c r="D7" s="3">
        <f>SUM(weekly_covid_deaths_health_board[[#This Row],[Ayrshire and Arran]:[Western Isles]])</f>
        <v>0</v>
      </c>
      <c r="E7" s="2">
        <f>weekly_covid_deaths_council_area[[#This Row],[East Ayrshire]]+weekly_covid_deaths_council_area[[#This Row],[North Ayrshire]]+weekly_covid_deaths_council_area[[#This Row],[South Ayrshire]]</f>
        <v>0</v>
      </c>
      <c r="F7" s="2">
        <f>weekly_covid_deaths_council_area[[#This Row],[Scottish Borders ]]</f>
        <v>0</v>
      </c>
      <c r="G7" s="2">
        <f>weekly_covid_deaths_council_area[[#This Row],[Dumfries and Galloway]]</f>
        <v>0</v>
      </c>
      <c r="H7" s="2">
        <f>weekly_covid_deaths_council_area[[#This Row],[Fife]]</f>
        <v>0</v>
      </c>
      <c r="I7" s="2">
        <f>weekly_covid_deaths_council_area[[#This Row],[Clackmannanshire]]+weekly_covid_deaths_council_area[[#This Row],[Falkirk]]+weekly_covid_deaths_council_area[[#This Row],[Stirling]]</f>
        <v>0</v>
      </c>
      <c r="J7" s="2">
        <f>weekly_covid_deaths_council_area[[#This Row],[Aberdeen City]]+weekly_covid_deaths_council_area[[#This Row],[Aberdeenshire]]+weekly_covid_deaths_council_area[[#This Row],[Moray]]</f>
        <v>0</v>
      </c>
      <c r="K7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7" s="2">
        <f>weekly_covid_deaths_council_area[[#This Row],[Highland]]+weekly_covid_deaths_council_area[[#This Row],[Argyll and Bute]]</f>
        <v>0</v>
      </c>
      <c r="M7" s="60">
        <f>weekly_covid_deaths_council_area[[#This Row],[North Lanarkshire]]+weekly_covid_deaths_council_area[[#This Row],[South Lanarkshire]]</f>
        <v>0</v>
      </c>
      <c r="N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7" s="60">
        <f>weekly_covid_deaths_council_area[[#This Row],[Orkney Islands]]</f>
        <v>0</v>
      </c>
      <c r="P7" s="60">
        <f>weekly_covid_deaths_council_area[[#This Row],[Shetland Islands]]</f>
        <v>0</v>
      </c>
      <c r="Q7" s="60">
        <f>weekly_covid_deaths_council_area[[#This Row],[Angus]]+weekly_covid_deaths_council_area[[#This Row],[Dundee City]]+weekly_covid_deaths_council_area[[#This Row],[Perth and Kinross]]</f>
        <v>0</v>
      </c>
      <c r="R7" s="60">
        <f>weekly_covid_deaths_council_area[[#This Row],[Na h-Eileanan Siar]]</f>
        <v>0</v>
      </c>
    </row>
    <row r="8" spans="1:18" ht="16.149999999999999" customHeight="1" x14ac:dyDescent="0.35">
      <c r="A8" s="14" t="s">
        <v>85</v>
      </c>
      <c r="B8" s="15">
        <v>3</v>
      </c>
      <c r="C8" s="16">
        <v>43843</v>
      </c>
      <c r="D8" s="3">
        <f>SUM(weekly_covid_deaths_health_board[[#This Row],[Ayrshire and Arran]:[Western Isles]])</f>
        <v>0</v>
      </c>
      <c r="E8" s="2">
        <f>weekly_covid_deaths_council_area[[#This Row],[East Ayrshire]]+weekly_covid_deaths_council_area[[#This Row],[North Ayrshire]]+weekly_covid_deaths_council_area[[#This Row],[South Ayrshire]]</f>
        <v>0</v>
      </c>
      <c r="F8" s="2">
        <f>weekly_covid_deaths_council_area[[#This Row],[Scottish Borders ]]</f>
        <v>0</v>
      </c>
      <c r="G8" s="2">
        <f>weekly_covid_deaths_council_area[[#This Row],[Dumfries and Galloway]]</f>
        <v>0</v>
      </c>
      <c r="H8" s="2">
        <f>weekly_covid_deaths_council_area[[#This Row],[Fife]]</f>
        <v>0</v>
      </c>
      <c r="I8" s="2">
        <f>weekly_covid_deaths_council_area[[#This Row],[Clackmannanshire]]+weekly_covid_deaths_council_area[[#This Row],[Falkirk]]+weekly_covid_deaths_council_area[[#This Row],[Stirling]]</f>
        <v>0</v>
      </c>
      <c r="J8" s="2">
        <f>weekly_covid_deaths_council_area[[#This Row],[Aberdeen City]]+weekly_covid_deaths_council_area[[#This Row],[Aberdeenshire]]+weekly_covid_deaths_council_area[[#This Row],[Moray]]</f>
        <v>0</v>
      </c>
      <c r="K8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8" s="2">
        <f>weekly_covid_deaths_council_area[[#This Row],[Highland]]+weekly_covid_deaths_council_area[[#This Row],[Argyll and Bute]]</f>
        <v>0</v>
      </c>
      <c r="M8" s="60">
        <f>weekly_covid_deaths_council_area[[#This Row],[North Lanarkshire]]+weekly_covid_deaths_council_area[[#This Row],[South Lanarkshire]]</f>
        <v>0</v>
      </c>
      <c r="N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8" s="60">
        <f>weekly_covid_deaths_council_area[[#This Row],[Orkney Islands]]</f>
        <v>0</v>
      </c>
      <c r="P8" s="60">
        <f>weekly_covid_deaths_council_area[[#This Row],[Shetland Islands]]</f>
        <v>0</v>
      </c>
      <c r="Q8" s="60">
        <f>weekly_covid_deaths_council_area[[#This Row],[Angus]]+weekly_covid_deaths_council_area[[#This Row],[Dundee City]]+weekly_covid_deaths_council_area[[#This Row],[Perth and Kinross]]</f>
        <v>0</v>
      </c>
      <c r="R8" s="60">
        <f>weekly_covid_deaths_council_area[[#This Row],[Na h-Eileanan Siar]]</f>
        <v>0</v>
      </c>
    </row>
    <row r="9" spans="1:18" ht="16.149999999999999" customHeight="1" x14ac:dyDescent="0.35">
      <c r="A9" s="14" t="s">
        <v>85</v>
      </c>
      <c r="B9" s="15">
        <v>4</v>
      </c>
      <c r="C9" s="16">
        <v>43850</v>
      </c>
      <c r="D9" s="3">
        <f>SUM(weekly_covid_deaths_health_board[[#This Row],[Ayrshire and Arran]:[Western Isles]])</f>
        <v>0</v>
      </c>
      <c r="E9" s="2">
        <f>weekly_covid_deaths_council_area[[#This Row],[East Ayrshire]]+weekly_covid_deaths_council_area[[#This Row],[North Ayrshire]]+weekly_covid_deaths_council_area[[#This Row],[South Ayrshire]]</f>
        <v>0</v>
      </c>
      <c r="F9" s="2">
        <f>weekly_covid_deaths_council_area[[#This Row],[Scottish Borders ]]</f>
        <v>0</v>
      </c>
      <c r="G9" s="2">
        <f>weekly_covid_deaths_council_area[[#This Row],[Dumfries and Galloway]]</f>
        <v>0</v>
      </c>
      <c r="H9" s="2">
        <f>weekly_covid_deaths_council_area[[#This Row],[Fife]]</f>
        <v>0</v>
      </c>
      <c r="I9" s="2">
        <f>weekly_covid_deaths_council_area[[#This Row],[Clackmannanshire]]+weekly_covid_deaths_council_area[[#This Row],[Falkirk]]+weekly_covid_deaths_council_area[[#This Row],[Stirling]]</f>
        <v>0</v>
      </c>
      <c r="J9" s="2">
        <f>weekly_covid_deaths_council_area[[#This Row],[Aberdeen City]]+weekly_covid_deaths_council_area[[#This Row],[Aberdeenshire]]+weekly_covid_deaths_council_area[[#This Row],[Moray]]</f>
        <v>0</v>
      </c>
      <c r="K9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9" s="2">
        <f>weekly_covid_deaths_council_area[[#This Row],[Highland]]+weekly_covid_deaths_council_area[[#This Row],[Argyll and Bute]]</f>
        <v>0</v>
      </c>
      <c r="M9" s="60">
        <f>weekly_covid_deaths_council_area[[#This Row],[North Lanarkshire]]+weekly_covid_deaths_council_area[[#This Row],[South Lanarkshire]]</f>
        <v>0</v>
      </c>
      <c r="N9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9" s="60">
        <f>weekly_covid_deaths_council_area[[#This Row],[Orkney Islands]]</f>
        <v>0</v>
      </c>
      <c r="P9" s="60">
        <f>weekly_covid_deaths_council_area[[#This Row],[Shetland Islands]]</f>
        <v>0</v>
      </c>
      <c r="Q9" s="60">
        <f>weekly_covid_deaths_council_area[[#This Row],[Angus]]+weekly_covid_deaths_council_area[[#This Row],[Dundee City]]+weekly_covid_deaths_council_area[[#This Row],[Perth and Kinross]]</f>
        <v>0</v>
      </c>
      <c r="R9" s="60">
        <f>weekly_covid_deaths_council_area[[#This Row],[Na h-Eileanan Siar]]</f>
        <v>0</v>
      </c>
    </row>
    <row r="10" spans="1:18" ht="16.149999999999999" customHeight="1" x14ac:dyDescent="0.35">
      <c r="A10" s="14" t="s">
        <v>85</v>
      </c>
      <c r="B10" s="15">
        <v>5</v>
      </c>
      <c r="C10" s="16">
        <v>43857</v>
      </c>
      <c r="D10" s="3">
        <f>SUM(weekly_covid_deaths_health_board[[#This Row],[Ayrshire and Arran]:[Western Isles]])</f>
        <v>0</v>
      </c>
      <c r="E10" s="2">
        <f>weekly_covid_deaths_council_area[[#This Row],[East Ayrshire]]+weekly_covid_deaths_council_area[[#This Row],[North Ayrshire]]+weekly_covid_deaths_council_area[[#This Row],[South Ayrshire]]</f>
        <v>0</v>
      </c>
      <c r="F10" s="2">
        <f>weekly_covid_deaths_council_area[[#This Row],[Scottish Borders ]]</f>
        <v>0</v>
      </c>
      <c r="G10" s="2">
        <f>weekly_covid_deaths_council_area[[#This Row],[Dumfries and Galloway]]</f>
        <v>0</v>
      </c>
      <c r="H10" s="2">
        <f>weekly_covid_deaths_council_area[[#This Row],[Fife]]</f>
        <v>0</v>
      </c>
      <c r="I10" s="2">
        <f>weekly_covid_deaths_council_area[[#This Row],[Clackmannanshire]]+weekly_covid_deaths_council_area[[#This Row],[Falkirk]]+weekly_covid_deaths_council_area[[#This Row],[Stirling]]</f>
        <v>0</v>
      </c>
      <c r="J10" s="2">
        <f>weekly_covid_deaths_council_area[[#This Row],[Aberdeen City]]+weekly_covid_deaths_council_area[[#This Row],[Aberdeenshire]]+weekly_covid_deaths_council_area[[#This Row],[Moray]]</f>
        <v>0</v>
      </c>
      <c r="K10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0" s="2">
        <f>weekly_covid_deaths_council_area[[#This Row],[Highland]]+weekly_covid_deaths_council_area[[#This Row],[Argyll and Bute]]</f>
        <v>0</v>
      </c>
      <c r="M10" s="60">
        <f>weekly_covid_deaths_council_area[[#This Row],[North Lanarkshire]]+weekly_covid_deaths_council_area[[#This Row],[South Lanarkshire]]</f>
        <v>0</v>
      </c>
      <c r="N10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0" s="60">
        <f>weekly_covid_deaths_council_area[[#This Row],[Orkney Islands]]</f>
        <v>0</v>
      </c>
      <c r="P10" s="60">
        <f>weekly_covid_deaths_council_area[[#This Row],[Shetland Islands]]</f>
        <v>0</v>
      </c>
      <c r="Q10" s="60">
        <f>weekly_covid_deaths_council_area[[#This Row],[Angus]]+weekly_covid_deaths_council_area[[#This Row],[Dundee City]]+weekly_covid_deaths_council_area[[#This Row],[Perth and Kinross]]</f>
        <v>0</v>
      </c>
      <c r="R10" s="60">
        <f>weekly_covid_deaths_council_area[[#This Row],[Na h-Eileanan Siar]]</f>
        <v>0</v>
      </c>
    </row>
    <row r="11" spans="1:18" ht="16.149999999999999" customHeight="1" x14ac:dyDescent="0.35">
      <c r="A11" s="14" t="s">
        <v>85</v>
      </c>
      <c r="B11" s="15">
        <v>6</v>
      </c>
      <c r="C11" s="16">
        <v>43864</v>
      </c>
      <c r="D11" s="3">
        <f>SUM(weekly_covid_deaths_health_board[[#This Row],[Ayrshire and Arran]:[Western Isles]])</f>
        <v>0</v>
      </c>
      <c r="E11" s="2">
        <f>weekly_covid_deaths_council_area[[#This Row],[East Ayrshire]]+weekly_covid_deaths_council_area[[#This Row],[North Ayrshire]]+weekly_covid_deaths_council_area[[#This Row],[South Ayrshire]]</f>
        <v>0</v>
      </c>
      <c r="F11" s="2">
        <f>weekly_covid_deaths_council_area[[#This Row],[Scottish Borders ]]</f>
        <v>0</v>
      </c>
      <c r="G11" s="2">
        <f>weekly_covid_deaths_council_area[[#This Row],[Dumfries and Galloway]]</f>
        <v>0</v>
      </c>
      <c r="H11" s="2">
        <f>weekly_covid_deaths_council_area[[#This Row],[Fife]]</f>
        <v>0</v>
      </c>
      <c r="I11" s="2">
        <f>weekly_covid_deaths_council_area[[#This Row],[Clackmannanshire]]+weekly_covid_deaths_council_area[[#This Row],[Falkirk]]+weekly_covid_deaths_council_area[[#This Row],[Stirling]]</f>
        <v>0</v>
      </c>
      <c r="J11" s="2">
        <f>weekly_covid_deaths_council_area[[#This Row],[Aberdeen City]]+weekly_covid_deaths_council_area[[#This Row],[Aberdeenshire]]+weekly_covid_deaths_council_area[[#This Row],[Moray]]</f>
        <v>0</v>
      </c>
      <c r="K11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1" s="2">
        <f>weekly_covid_deaths_council_area[[#This Row],[Highland]]+weekly_covid_deaths_council_area[[#This Row],[Argyll and Bute]]</f>
        <v>0</v>
      </c>
      <c r="M11" s="60">
        <f>weekly_covid_deaths_council_area[[#This Row],[North Lanarkshire]]+weekly_covid_deaths_council_area[[#This Row],[South Lanarkshire]]</f>
        <v>0</v>
      </c>
      <c r="N11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1" s="60">
        <f>weekly_covid_deaths_council_area[[#This Row],[Orkney Islands]]</f>
        <v>0</v>
      </c>
      <c r="P11" s="60">
        <f>weekly_covid_deaths_council_area[[#This Row],[Shetland Islands]]</f>
        <v>0</v>
      </c>
      <c r="Q11" s="60">
        <f>weekly_covid_deaths_council_area[[#This Row],[Angus]]+weekly_covid_deaths_council_area[[#This Row],[Dundee City]]+weekly_covid_deaths_council_area[[#This Row],[Perth and Kinross]]</f>
        <v>0</v>
      </c>
      <c r="R11" s="60">
        <f>weekly_covid_deaths_council_area[[#This Row],[Na h-Eileanan Siar]]</f>
        <v>0</v>
      </c>
    </row>
    <row r="12" spans="1:18" ht="16.149999999999999" customHeight="1" x14ac:dyDescent="0.35">
      <c r="A12" s="14" t="s">
        <v>85</v>
      </c>
      <c r="B12" s="15">
        <v>7</v>
      </c>
      <c r="C12" s="16">
        <v>43871</v>
      </c>
      <c r="D12" s="3">
        <f>SUM(weekly_covid_deaths_health_board[[#This Row],[Ayrshire and Arran]:[Western Isles]])</f>
        <v>0</v>
      </c>
      <c r="E12" s="2">
        <f>weekly_covid_deaths_council_area[[#This Row],[East Ayrshire]]+weekly_covid_deaths_council_area[[#This Row],[North Ayrshire]]+weekly_covid_deaths_council_area[[#This Row],[South Ayrshire]]</f>
        <v>0</v>
      </c>
      <c r="F12" s="2">
        <f>weekly_covid_deaths_council_area[[#This Row],[Scottish Borders ]]</f>
        <v>0</v>
      </c>
      <c r="G12" s="2">
        <f>weekly_covid_deaths_council_area[[#This Row],[Dumfries and Galloway]]</f>
        <v>0</v>
      </c>
      <c r="H12" s="2">
        <f>weekly_covid_deaths_council_area[[#This Row],[Fife]]</f>
        <v>0</v>
      </c>
      <c r="I12" s="2">
        <f>weekly_covid_deaths_council_area[[#This Row],[Clackmannanshire]]+weekly_covid_deaths_council_area[[#This Row],[Falkirk]]+weekly_covid_deaths_council_area[[#This Row],[Stirling]]</f>
        <v>0</v>
      </c>
      <c r="J12" s="2">
        <f>weekly_covid_deaths_council_area[[#This Row],[Aberdeen City]]+weekly_covid_deaths_council_area[[#This Row],[Aberdeenshire]]+weekly_covid_deaths_council_area[[#This Row],[Moray]]</f>
        <v>0</v>
      </c>
      <c r="K12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2" s="2">
        <f>weekly_covid_deaths_council_area[[#This Row],[Highland]]+weekly_covid_deaths_council_area[[#This Row],[Argyll and Bute]]</f>
        <v>0</v>
      </c>
      <c r="M12" s="60">
        <f>weekly_covid_deaths_council_area[[#This Row],[North Lanarkshire]]+weekly_covid_deaths_council_area[[#This Row],[South Lanarkshire]]</f>
        <v>0</v>
      </c>
      <c r="N12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2" s="60">
        <f>weekly_covid_deaths_council_area[[#This Row],[Orkney Islands]]</f>
        <v>0</v>
      </c>
      <c r="P12" s="60">
        <f>weekly_covid_deaths_council_area[[#This Row],[Shetland Islands]]</f>
        <v>0</v>
      </c>
      <c r="Q12" s="60">
        <f>weekly_covid_deaths_council_area[[#This Row],[Angus]]+weekly_covid_deaths_council_area[[#This Row],[Dundee City]]+weekly_covid_deaths_council_area[[#This Row],[Perth and Kinross]]</f>
        <v>0</v>
      </c>
      <c r="R12" s="60">
        <f>weekly_covid_deaths_council_area[[#This Row],[Na h-Eileanan Siar]]</f>
        <v>0</v>
      </c>
    </row>
    <row r="13" spans="1:18" ht="16.149999999999999" customHeight="1" x14ac:dyDescent="0.35">
      <c r="A13" s="14" t="s">
        <v>85</v>
      </c>
      <c r="B13" s="15">
        <v>8</v>
      </c>
      <c r="C13" s="16">
        <v>43878</v>
      </c>
      <c r="D13" s="3">
        <f>SUM(weekly_covid_deaths_health_board[[#This Row],[Ayrshire and Arran]:[Western Isles]])</f>
        <v>0</v>
      </c>
      <c r="E13" s="2">
        <f>weekly_covid_deaths_council_area[[#This Row],[East Ayrshire]]+weekly_covid_deaths_council_area[[#This Row],[North Ayrshire]]+weekly_covid_deaths_council_area[[#This Row],[South Ayrshire]]</f>
        <v>0</v>
      </c>
      <c r="F13" s="2">
        <f>weekly_covid_deaths_council_area[[#This Row],[Scottish Borders ]]</f>
        <v>0</v>
      </c>
      <c r="G13" s="2">
        <f>weekly_covid_deaths_council_area[[#This Row],[Dumfries and Galloway]]</f>
        <v>0</v>
      </c>
      <c r="H13" s="2">
        <f>weekly_covid_deaths_council_area[[#This Row],[Fife]]</f>
        <v>0</v>
      </c>
      <c r="I13" s="2">
        <f>weekly_covid_deaths_council_area[[#This Row],[Clackmannanshire]]+weekly_covid_deaths_council_area[[#This Row],[Falkirk]]+weekly_covid_deaths_council_area[[#This Row],[Stirling]]</f>
        <v>0</v>
      </c>
      <c r="J13" s="2">
        <f>weekly_covid_deaths_council_area[[#This Row],[Aberdeen City]]+weekly_covid_deaths_council_area[[#This Row],[Aberdeenshire]]+weekly_covid_deaths_council_area[[#This Row],[Moray]]</f>
        <v>0</v>
      </c>
      <c r="K13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3" s="2">
        <f>weekly_covid_deaths_council_area[[#This Row],[Highland]]+weekly_covid_deaths_council_area[[#This Row],[Argyll and Bute]]</f>
        <v>0</v>
      </c>
      <c r="M13" s="60">
        <f>weekly_covid_deaths_council_area[[#This Row],[North Lanarkshire]]+weekly_covid_deaths_council_area[[#This Row],[South Lanarkshire]]</f>
        <v>0</v>
      </c>
      <c r="N13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3" s="60">
        <f>weekly_covid_deaths_council_area[[#This Row],[Orkney Islands]]</f>
        <v>0</v>
      </c>
      <c r="P13" s="60">
        <f>weekly_covid_deaths_council_area[[#This Row],[Shetland Islands]]</f>
        <v>0</v>
      </c>
      <c r="Q13" s="60">
        <f>weekly_covid_deaths_council_area[[#This Row],[Angus]]+weekly_covid_deaths_council_area[[#This Row],[Dundee City]]+weekly_covid_deaths_council_area[[#This Row],[Perth and Kinross]]</f>
        <v>0</v>
      </c>
      <c r="R13" s="60">
        <f>weekly_covid_deaths_council_area[[#This Row],[Na h-Eileanan Siar]]</f>
        <v>0</v>
      </c>
    </row>
    <row r="14" spans="1:18" ht="16.149999999999999" customHeight="1" x14ac:dyDescent="0.35">
      <c r="A14" s="14" t="s">
        <v>85</v>
      </c>
      <c r="B14" s="15">
        <v>9</v>
      </c>
      <c r="C14" s="16">
        <v>43885</v>
      </c>
      <c r="D14" s="3">
        <f>SUM(weekly_covid_deaths_health_board[[#This Row],[Ayrshire and Arran]:[Western Isles]])</f>
        <v>0</v>
      </c>
      <c r="E14" s="2">
        <f>weekly_covid_deaths_council_area[[#This Row],[East Ayrshire]]+weekly_covid_deaths_council_area[[#This Row],[North Ayrshire]]+weekly_covid_deaths_council_area[[#This Row],[South Ayrshire]]</f>
        <v>0</v>
      </c>
      <c r="F14" s="2">
        <f>weekly_covid_deaths_council_area[[#This Row],[Scottish Borders ]]</f>
        <v>0</v>
      </c>
      <c r="G14" s="2">
        <f>weekly_covid_deaths_council_area[[#This Row],[Dumfries and Galloway]]</f>
        <v>0</v>
      </c>
      <c r="H14" s="2">
        <f>weekly_covid_deaths_council_area[[#This Row],[Fife]]</f>
        <v>0</v>
      </c>
      <c r="I14" s="2">
        <f>weekly_covid_deaths_council_area[[#This Row],[Clackmannanshire]]+weekly_covid_deaths_council_area[[#This Row],[Falkirk]]+weekly_covid_deaths_council_area[[#This Row],[Stirling]]</f>
        <v>0</v>
      </c>
      <c r="J14" s="2">
        <f>weekly_covid_deaths_council_area[[#This Row],[Aberdeen City]]+weekly_covid_deaths_council_area[[#This Row],[Aberdeenshire]]+weekly_covid_deaths_council_area[[#This Row],[Moray]]</f>
        <v>0</v>
      </c>
      <c r="K14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4" s="2">
        <f>weekly_covid_deaths_council_area[[#This Row],[Highland]]+weekly_covid_deaths_council_area[[#This Row],[Argyll and Bute]]</f>
        <v>0</v>
      </c>
      <c r="M14" s="60">
        <f>weekly_covid_deaths_council_area[[#This Row],[North Lanarkshire]]+weekly_covid_deaths_council_area[[#This Row],[South Lanarkshire]]</f>
        <v>0</v>
      </c>
      <c r="N14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4" s="60">
        <f>weekly_covid_deaths_council_area[[#This Row],[Orkney Islands]]</f>
        <v>0</v>
      </c>
      <c r="P14" s="60">
        <f>weekly_covid_deaths_council_area[[#This Row],[Shetland Islands]]</f>
        <v>0</v>
      </c>
      <c r="Q14" s="60">
        <f>weekly_covid_deaths_council_area[[#This Row],[Angus]]+weekly_covid_deaths_council_area[[#This Row],[Dundee City]]+weekly_covid_deaths_council_area[[#This Row],[Perth and Kinross]]</f>
        <v>0</v>
      </c>
      <c r="R14" s="60">
        <f>weekly_covid_deaths_council_area[[#This Row],[Na h-Eileanan Siar]]</f>
        <v>0</v>
      </c>
    </row>
    <row r="15" spans="1:18" ht="16.149999999999999" customHeight="1" x14ac:dyDescent="0.35">
      <c r="A15" s="14" t="s">
        <v>85</v>
      </c>
      <c r="B15" s="15">
        <v>10</v>
      </c>
      <c r="C15" s="16">
        <v>43892</v>
      </c>
      <c r="D15" s="3">
        <f>SUM(weekly_covid_deaths_health_board[[#This Row],[Ayrshire and Arran]:[Western Isles]])</f>
        <v>0</v>
      </c>
      <c r="E15" s="2">
        <f>weekly_covid_deaths_council_area[[#This Row],[East Ayrshire]]+weekly_covid_deaths_council_area[[#This Row],[North Ayrshire]]+weekly_covid_deaths_council_area[[#This Row],[South Ayrshire]]</f>
        <v>0</v>
      </c>
      <c r="F15" s="2">
        <f>weekly_covid_deaths_council_area[[#This Row],[Scottish Borders ]]</f>
        <v>0</v>
      </c>
      <c r="G15" s="2">
        <f>weekly_covid_deaths_council_area[[#This Row],[Dumfries and Galloway]]</f>
        <v>0</v>
      </c>
      <c r="H15" s="2">
        <f>weekly_covid_deaths_council_area[[#This Row],[Fife]]</f>
        <v>0</v>
      </c>
      <c r="I15" s="2">
        <f>weekly_covid_deaths_council_area[[#This Row],[Clackmannanshire]]+weekly_covid_deaths_council_area[[#This Row],[Falkirk]]+weekly_covid_deaths_council_area[[#This Row],[Stirling]]</f>
        <v>0</v>
      </c>
      <c r="J15" s="2">
        <f>weekly_covid_deaths_council_area[[#This Row],[Aberdeen City]]+weekly_covid_deaths_council_area[[#This Row],[Aberdeenshire]]+weekly_covid_deaths_council_area[[#This Row],[Moray]]</f>
        <v>0</v>
      </c>
      <c r="K15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5" s="2">
        <f>weekly_covid_deaths_council_area[[#This Row],[Highland]]+weekly_covid_deaths_council_area[[#This Row],[Argyll and Bute]]</f>
        <v>0</v>
      </c>
      <c r="M15" s="60">
        <f>weekly_covid_deaths_council_area[[#This Row],[North Lanarkshire]]+weekly_covid_deaths_council_area[[#This Row],[South Lanarkshire]]</f>
        <v>0</v>
      </c>
      <c r="N15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5" s="60">
        <f>weekly_covid_deaths_council_area[[#This Row],[Orkney Islands]]</f>
        <v>0</v>
      </c>
      <c r="P15" s="60">
        <f>weekly_covid_deaths_council_area[[#This Row],[Shetland Islands]]</f>
        <v>0</v>
      </c>
      <c r="Q15" s="60">
        <f>weekly_covid_deaths_council_area[[#This Row],[Angus]]+weekly_covid_deaths_council_area[[#This Row],[Dundee City]]+weekly_covid_deaths_council_area[[#This Row],[Perth and Kinross]]</f>
        <v>0</v>
      </c>
      <c r="R15" s="60">
        <f>weekly_covid_deaths_council_area[[#This Row],[Na h-Eileanan Siar]]</f>
        <v>0</v>
      </c>
    </row>
    <row r="16" spans="1:18" ht="16.149999999999999" customHeight="1" x14ac:dyDescent="0.35">
      <c r="A16" s="14" t="s">
        <v>85</v>
      </c>
      <c r="B16" s="15">
        <v>11</v>
      </c>
      <c r="C16" s="16">
        <v>43899</v>
      </c>
      <c r="D16" s="3">
        <f>SUM(weekly_covid_deaths_health_board[[#This Row],[Ayrshire and Arran]:[Western Isles]])</f>
        <v>0</v>
      </c>
      <c r="E16" s="2">
        <f>weekly_covid_deaths_council_area[[#This Row],[East Ayrshire]]+weekly_covid_deaths_council_area[[#This Row],[North Ayrshire]]+weekly_covid_deaths_council_area[[#This Row],[South Ayrshire]]</f>
        <v>0</v>
      </c>
      <c r="F16" s="2">
        <f>weekly_covid_deaths_council_area[[#This Row],[Scottish Borders ]]</f>
        <v>0</v>
      </c>
      <c r="G16" s="2">
        <f>weekly_covid_deaths_council_area[[#This Row],[Dumfries and Galloway]]</f>
        <v>0</v>
      </c>
      <c r="H16" s="2">
        <f>weekly_covid_deaths_council_area[[#This Row],[Fife]]</f>
        <v>0</v>
      </c>
      <c r="I16" s="25">
        <f>weekly_covid_deaths_council_area[[#This Row],[Clackmannanshire]]+weekly_covid_deaths_council_area[[#This Row],[Falkirk]]+weekly_covid_deaths_council_area[[#This Row],[Stirling]]</f>
        <v>0</v>
      </c>
      <c r="J16" s="25">
        <f>weekly_covid_deaths_council_area[[#This Row],[Aberdeen City]]+weekly_covid_deaths_council_area[[#This Row],[Aberdeenshire]]+weekly_covid_deaths_council_area[[#This Row],[Moray]]</f>
        <v>0</v>
      </c>
      <c r="K16" s="25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16" s="25">
        <f>weekly_covid_deaths_council_area[[#This Row],[Highland]]+weekly_covid_deaths_council_area[[#This Row],[Argyll and Bute]]</f>
        <v>0</v>
      </c>
      <c r="M16" s="60">
        <f>weekly_covid_deaths_council_area[[#This Row],[North Lanarkshire]]+weekly_covid_deaths_council_area[[#This Row],[South Lanarkshire]]</f>
        <v>0</v>
      </c>
      <c r="N16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16" s="60">
        <f>weekly_covid_deaths_council_area[[#This Row],[Orkney Islands]]</f>
        <v>0</v>
      </c>
      <c r="P16" s="60">
        <f>weekly_covid_deaths_council_area[[#This Row],[Shetland Islands]]</f>
        <v>0</v>
      </c>
      <c r="Q16" s="60">
        <f>weekly_covid_deaths_council_area[[#This Row],[Angus]]+weekly_covid_deaths_council_area[[#This Row],[Dundee City]]+weekly_covid_deaths_council_area[[#This Row],[Perth and Kinross]]</f>
        <v>0</v>
      </c>
      <c r="R16" s="60">
        <f>weekly_covid_deaths_council_area[[#This Row],[Na h-Eileanan Siar]]</f>
        <v>0</v>
      </c>
    </row>
    <row r="17" spans="1:18" ht="16.149999999999999" customHeight="1" x14ac:dyDescent="0.35">
      <c r="A17" s="14" t="s">
        <v>85</v>
      </c>
      <c r="B17" s="15">
        <v>12</v>
      </c>
      <c r="C17" s="16">
        <v>43906</v>
      </c>
      <c r="D17" s="3">
        <f>SUM(weekly_covid_deaths_health_board[[#This Row],[Ayrshire and Arran]:[Western Isles]])</f>
        <v>11</v>
      </c>
      <c r="E17" s="2">
        <f>weekly_covid_deaths_council_area[[#This Row],[East Ayrshire]]+weekly_covid_deaths_council_area[[#This Row],[North Ayrshire]]+weekly_covid_deaths_council_area[[#This Row],[South Ayrshire]]</f>
        <v>1</v>
      </c>
      <c r="F17" s="2">
        <f>weekly_covid_deaths_council_area[[#This Row],[Scottish Borders ]]</f>
        <v>0</v>
      </c>
      <c r="G17" s="2">
        <f>weekly_covid_deaths_council_area[[#This Row],[Dumfries and Galloway]]</f>
        <v>0</v>
      </c>
      <c r="H17" s="2">
        <f>weekly_covid_deaths_council_area[[#This Row],[Fife]]</f>
        <v>2</v>
      </c>
      <c r="I17" s="25">
        <f>weekly_covid_deaths_council_area[[#This Row],[Clackmannanshire]]+weekly_covid_deaths_council_area[[#This Row],[Falkirk]]+weekly_covid_deaths_council_area[[#This Row],[Stirling]]</f>
        <v>0</v>
      </c>
      <c r="J17" s="25">
        <f>weekly_covid_deaths_council_area[[#This Row],[Aberdeen City]]+weekly_covid_deaths_council_area[[#This Row],[Aberdeenshire]]+weekly_covid_deaths_council_area[[#This Row],[Moray]]</f>
        <v>2</v>
      </c>
      <c r="K17" s="25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17" s="25">
        <f>weekly_covid_deaths_council_area[[#This Row],[Highland]]+weekly_covid_deaths_council_area[[#This Row],[Argyll and Bute]]</f>
        <v>1</v>
      </c>
      <c r="M17" s="60">
        <f>weekly_covid_deaths_council_area[[#This Row],[North Lanarkshire]]+weekly_covid_deaths_council_area[[#This Row],[South Lanarkshire]]</f>
        <v>0</v>
      </c>
      <c r="N1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</v>
      </c>
      <c r="O17" s="60">
        <f>weekly_covid_deaths_council_area[[#This Row],[Orkney Islands]]</f>
        <v>0</v>
      </c>
      <c r="P17" s="60">
        <f>weekly_covid_deaths_council_area[[#This Row],[Shetland Islands]]</f>
        <v>0</v>
      </c>
      <c r="Q17" s="60">
        <f>weekly_covid_deaths_council_area[[#This Row],[Angus]]+weekly_covid_deaths_council_area[[#This Row],[Dundee City]]+weekly_covid_deaths_council_area[[#This Row],[Perth and Kinross]]</f>
        <v>0</v>
      </c>
      <c r="R17" s="60">
        <f>weekly_covid_deaths_council_area[[#This Row],[Na h-Eileanan Siar]]</f>
        <v>0</v>
      </c>
    </row>
    <row r="18" spans="1:18" ht="16.149999999999999" customHeight="1" x14ac:dyDescent="0.35">
      <c r="A18" s="14" t="s">
        <v>85</v>
      </c>
      <c r="B18" s="15">
        <v>13</v>
      </c>
      <c r="C18" s="16">
        <v>43913</v>
      </c>
      <c r="D18" s="3">
        <f>SUM(weekly_covid_deaths_health_board[[#This Row],[Ayrshire and Arran]:[Western Isles]])</f>
        <v>62</v>
      </c>
      <c r="E18" s="2">
        <f>weekly_covid_deaths_council_area[[#This Row],[East Ayrshire]]+weekly_covid_deaths_council_area[[#This Row],[North Ayrshire]]+weekly_covid_deaths_council_area[[#This Row],[South Ayrshire]]</f>
        <v>9</v>
      </c>
      <c r="F18" s="2">
        <f>weekly_covid_deaths_council_area[[#This Row],[Scottish Borders ]]</f>
        <v>3</v>
      </c>
      <c r="G18" s="2">
        <f>weekly_covid_deaths_council_area[[#This Row],[Dumfries and Galloway]]</f>
        <v>0</v>
      </c>
      <c r="H18" s="2">
        <f>weekly_covid_deaths_council_area[[#This Row],[Fife]]</f>
        <v>4</v>
      </c>
      <c r="I18" s="2">
        <f>weekly_covid_deaths_council_area[[#This Row],[Clackmannanshire]]+weekly_covid_deaths_council_area[[#This Row],[Falkirk]]+weekly_covid_deaths_council_area[[#This Row],[Stirling]]</f>
        <v>7</v>
      </c>
      <c r="J18" s="2">
        <f>weekly_covid_deaths_council_area[[#This Row],[Aberdeen City]]+weekly_covid_deaths_council_area[[#This Row],[Aberdeenshire]]+weekly_covid_deaths_council_area[[#This Row],[Moray]]</f>
        <v>3</v>
      </c>
      <c r="K18" s="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13</v>
      </c>
      <c r="L18" s="2">
        <f>weekly_covid_deaths_council_area[[#This Row],[Highland]]+weekly_covid_deaths_council_area[[#This Row],[Argyll and Bute]]</f>
        <v>5</v>
      </c>
      <c r="M18" s="60">
        <f>weekly_covid_deaths_council_area[[#This Row],[North Lanarkshire]]+weekly_covid_deaths_council_area[[#This Row],[South Lanarkshire]]</f>
        <v>8</v>
      </c>
      <c r="N1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7</v>
      </c>
      <c r="O18" s="60">
        <f>weekly_covid_deaths_council_area[[#This Row],[Orkney Islands]]</f>
        <v>0</v>
      </c>
      <c r="P18" s="60">
        <f>weekly_covid_deaths_council_area[[#This Row],[Shetland Islands]]</f>
        <v>0</v>
      </c>
      <c r="Q18" s="60">
        <f>weekly_covid_deaths_council_area[[#This Row],[Angus]]+weekly_covid_deaths_council_area[[#This Row],[Dundee City]]+weekly_covid_deaths_council_area[[#This Row],[Perth and Kinross]]</f>
        <v>3</v>
      </c>
      <c r="R18" s="60">
        <f>weekly_covid_deaths_council_area[[#This Row],[Na h-Eileanan Siar]]</f>
        <v>0</v>
      </c>
    </row>
    <row r="19" spans="1:18" ht="16.149999999999999" customHeight="1" x14ac:dyDescent="0.35">
      <c r="A19" s="14" t="s">
        <v>85</v>
      </c>
      <c r="B19" s="15">
        <v>14</v>
      </c>
      <c r="C19" s="16">
        <v>43920</v>
      </c>
      <c r="D19" s="3">
        <f>SUM(weekly_covid_deaths_health_board[[#This Row],[Ayrshire and Arran]:[Western Isles]])</f>
        <v>282</v>
      </c>
      <c r="E19" s="25">
        <f>weekly_covid_deaths_council_area[[#This Row],[East Ayrshire]]+weekly_covid_deaths_council_area[[#This Row],[North Ayrshire]]+weekly_covid_deaths_council_area[[#This Row],[South Ayrshire]]</f>
        <v>17</v>
      </c>
      <c r="F19" s="25">
        <f>weekly_covid_deaths_council_area[[#This Row],[Scottish Borders ]]</f>
        <v>13</v>
      </c>
      <c r="G19" s="25">
        <f>weekly_covid_deaths_council_area[[#This Row],[Dumfries and Galloway]]</f>
        <v>12</v>
      </c>
      <c r="H19" s="25">
        <f>weekly_covid_deaths_council_area[[#This Row],[Fife]]</f>
        <v>9</v>
      </c>
      <c r="I19" s="25">
        <f>weekly_covid_deaths_council_area[[#This Row],[Clackmannanshire]]+weekly_covid_deaths_council_area[[#This Row],[Falkirk]]+weekly_covid_deaths_council_area[[#This Row],[Stirling]]</f>
        <v>20</v>
      </c>
      <c r="J19" s="25">
        <f>weekly_covid_deaths_council_area[[#This Row],[Aberdeen City]]+weekly_covid_deaths_council_area[[#This Row],[Aberdeenshire]]+weekly_covid_deaths_council_area[[#This Row],[Moray]]</f>
        <v>6</v>
      </c>
      <c r="K19" s="25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107</v>
      </c>
      <c r="L19" s="25">
        <f>weekly_covid_deaths_council_area[[#This Row],[Highland]]+weekly_covid_deaths_council_area[[#This Row],[Argyll and Bute]]</f>
        <v>11</v>
      </c>
      <c r="M19" s="60">
        <f>weekly_covid_deaths_council_area[[#This Row],[North Lanarkshire]]+weekly_covid_deaths_council_area[[#This Row],[South Lanarkshire]]</f>
        <v>40</v>
      </c>
      <c r="N19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32</v>
      </c>
      <c r="O19" s="60">
        <f>weekly_covid_deaths_council_area[[#This Row],[Orkney Islands]]</f>
        <v>0</v>
      </c>
      <c r="P19" s="60">
        <f>weekly_covid_deaths_council_area[[#This Row],[Shetland Islands]]</f>
        <v>1</v>
      </c>
      <c r="Q19" s="60">
        <f>weekly_covid_deaths_council_area[[#This Row],[Angus]]+weekly_covid_deaths_council_area[[#This Row],[Dundee City]]+weekly_covid_deaths_council_area[[#This Row],[Perth and Kinross]]</f>
        <v>14</v>
      </c>
      <c r="R19" s="60">
        <f>weekly_covid_deaths_council_area[[#This Row],[Na h-Eileanan Siar]]</f>
        <v>0</v>
      </c>
    </row>
    <row r="20" spans="1:18" ht="16.149999999999999" customHeight="1" x14ac:dyDescent="0.35">
      <c r="A20" s="14" t="s">
        <v>85</v>
      </c>
      <c r="B20" s="15">
        <v>15</v>
      </c>
      <c r="C20" s="16">
        <v>43927</v>
      </c>
      <c r="D20" s="3">
        <f>SUM(weekly_covid_deaths_health_board[[#This Row],[Ayrshire and Arran]:[Western Isles]])</f>
        <v>609</v>
      </c>
      <c r="E20" s="19">
        <f>weekly_covid_deaths_council_area[[#This Row],[East Ayrshire]]+weekly_covid_deaths_council_area[[#This Row],[North Ayrshire]]+weekly_covid_deaths_council_area[[#This Row],[South Ayrshire]]</f>
        <v>40</v>
      </c>
      <c r="F20" s="19">
        <f>weekly_covid_deaths_council_area[[#This Row],[Scottish Borders ]]</f>
        <v>15</v>
      </c>
      <c r="G20" s="19">
        <f>weekly_covid_deaths_council_area[[#This Row],[Dumfries and Galloway]]</f>
        <v>9</v>
      </c>
      <c r="H20" s="19">
        <f>weekly_covid_deaths_council_area[[#This Row],[Fife]]</f>
        <v>31</v>
      </c>
      <c r="I20" s="19">
        <f>weekly_covid_deaths_council_area[[#This Row],[Clackmannanshire]]+weekly_covid_deaths_council_area[[#This Row],[Falkirk]]+weekly_covid_deaths_council_area[[#This Row],[Stirling]]</f>
        <v>32</v>
      </c>
      <c r="J20" s="19">
        <f>weekly_covid_deaths_council_area[[#This Row],[Aberdeen City]]+weekly_covid_deaths_council_area[[#This Row],[Aberdeenshire]]+weekly_covid_deaths_council_area[[#This Row],[Moray]]</f>
        <v>35</v>
      </c>
      <c r="K20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194</v>
      </c>
      <c r="L20" s="19">
        <f>weekly_covid_deaths_council_area[[#This Row],[Highland]]+weekly_covid_deaths_council_area[[#This Row],[Argyll and Bute]]</f>
        <v>13</v>
      </c>
      <c r="M20" s="60">
        <f>weekly_covid_deaths_council_area[[#This Row],[North Lanarkshire]]+weekly_covid_deaths_council_area[[#This Row],[South Lanarkshire]]</f>
        <v>90</v>
      </c>
      <c r="N20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108</v>
      </c>
      <c r="O20" s="60">
        <f>weekly_covid_deaths_council_area[[#This Row],[Orkney Islands]]</f>
        <v>2</v>
      </c>
      <c r="P20" s="60">
        <f>weekly_covid_deaths_council_area[[#This Row],[Shetland Islands]]</f>
        <v>4</v>
      </c>
      <c r="Q20" s="60">
        <f>weekly_covid_deaths_council_area[[#This Row],[Angus]]+weekly_covid_deaths_council_area[[#This Row],[Dundee City]]+weekly_covid_deaths_council_area[[#This Row],[Perth and Kinross]]</f>
        <v>36</v>
      </c>
      <c r="R20" s="60">
        <f>weekly_covid_deaths_council_area[[#This Row],[Na h-Eileanan Siar]]</f>
        <v>0</v>
      </c>
    </row>
    <row r="21" spans="1:18" ht="16.149999999999999" customHeight="1" x14ac:dyDescent="0.35">
      <c r="A21" s="14" t="s">
        <v>85</v>
      </c>
      <c r="B21" s="15">
        <v>16</v>
      </c>
      <c r="C21" s="16">
        <v>43934</v>
      </c>
      <c r="D21" s="3">
        <f>SUM(weekly_covid_deaths_health_board[[#This Row],[Ayrshire and Arran]:[Western Isles]])</f>
        <v>650</v>
      </c>
      <c r="E21" s="19">
        <f>weekly_covid_deaths_council_area[[#This Row],[East Ayrshire]]+weekly_covid_deaths_council_area[[#This Row],[North Ayrshire]]+weekly_covid_deaths_council_area[[#This Row],[South Ayrshire]]</f>
        <v>51</v>
      </c>
      <c r="F21" s="19">
        <f>weekly_covid_deaths_council_area[[#This Row],[Scottish Borders ]]</f>
        <v>7</v>
      </c>
      <c r="G21" s="19">
        <f>weekly_covid_deaths_council_area[[#This Row],[Dumfries and Galloway]]</f>
        <v>10</v>
      </c>
      <c r="H21" s="19">
        <f>weekly_covid_deaths_council_area[[#This Row],[Fife]]</f>
        <v>39</v>
      </c>
      <c r="I21" s="19">
        <f>weekly_covid_deaths_council_area[[#This Row],[Clackmannanshire]]+weekly_covid_deaths_council_area[[#This Row],[Falkirk]]+weekly_covid_deaths_council_area[[#This Row],[Stirling]]</f>
        <v>31</v>
      </c>
      <c r="J21" s="19">
        <f>weekly_covid_deaths_council_area[[#This Row],[Aberdeen City]]+weekly_covid_deaths_council_area[[#This Row],[Aberdeenshire]]+weekly_covid_deaths_council_area[[#This Row],[Moray]]</f>
        <v>43</v>
      </c>
      <c r="K21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198</v>
      </c>
      <c r="L21" s="19">
        <f>weekly_covid_deaths_council_area[[#This Row],[Highland]]+weekly_covid_deaths_council_area[[#This Row],[Argyll and Bute]]</f>
        <v>21</v>
      </c>
      <c r="M21" s="60">
        <f>weekly_covid_deaths_council_area[[#This Row],[North Lanarkshire]]+weekly_covid_deaths_council_area[[#This Row],[South Lanarkshire]]</f>
        <v>90</v>
      </c>
      <c r="N21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108</v>
      </c>
      <c r="O21" s="60">
        <f>weekly_covid_deaths_council_area[[#This Row],[Orkney Islands]]</f>
        <v>0</v>
      </c>
      <c r="P21" s="60">
        <f>weekly_covid_deaths_council_area[[#This Row],[Shetland Islands]]</f>
        <v>1</v>
      </c>
      <c r="Q21" s="60">
        <f>weekly_covid_deaths_council_area[[#This Row],[Angus]]+weekly_covid_deaths_council_area[[#This Row],[Dundee City]]+weekly_covid_deaths_council_area[[#This Row],[Perth and Kinross]]</f>
        <v>51</v>
      </c>
      <c r="R21" s="60">
        <f>weekly_covid_deaths_council_area[[#This Row],[Na h-Eileanan Siar]]</f>
        <v>0</v>
      </c>
    </row>
    <row r="22" spans="1:18" ht="16.149999999999999" customHeight="1" x14ac:dyDescent="0.35">
      <c r="A22" s="14" t="s">
        <v>85</v>
      </c>
      <c r="B22" s="15">
        <v>17</v>
      </c>
      <c r="C22" s="16">
        <v>43941</v>
      </c>
      <c r="D22" s="3">
        <f>SUM(weekly_covid_deaths_health_board[[#This Row],[Ayrshire and Arran]:[Western Isles]])</f>
        <v>663</v>
      </c>
      <c r="E22" s="19">
        <f>weekly_covid_deaths_council_area[[#This Row],[East Ayrshire]]+weekly_covid_deaths_council_area[[#This Row],[North Ayrshire]]+weekly_covid_deaths_council_area[[#This Row],[South Ayrshire]]</f>
        <v>39</v>
      </c>
      <c r="F22" s="19">
        <f>weekly_covid_deaths_council_area[[#This Row],[Scottish Borders ]]</f>
        <v>3</v>
      </c>
      <c r="G22" s="19">
        <f>weekly_covid_deaths_council_area[[#This Row],[Dumfries and Galloway]]</f>
        <v>3</v>
      </c>
      <c r="H22" s="19">
        <f>weekly_covid_deaths_council_area[[#This Row],[Fife]]</f>
        <v>33</v>
      </c>
      <c r="I22" s="19">
        <f>weekly_covid_deaths_council_area[[#This Row],[Clackmannanshire]]+weekly_covid_deaths_council_area[[#This Row],[Falkirk]]+weekly_covid_deaths_council_area[[#This Row],[Stirling]]</f>
        <v>34</v>
      </c>
      <c r="J22" s="19">
        <f>weekly_covid_deaths_council_area[[#This Row],[Aberdeen City]]+weekly_covid_deaths_council_area[[#This Row],[Aberdeenshire]]+weekly_covid_deaths_council_area[[#This Row],[Moray]]</f>
        <v>40</v>
      </c>
      <c r="K22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232</v>
      </c>
      <c r="L22" s="19">
        <f>weekly_covid_deaths_council_area[[#This Row],[Highland]]+weekly_covid_deaths_council_area[[#This Row],[Argyll and Bute]]</f>
        <v>22</v>
      </c>
      <c r="M22" s="60">
        <f>weekly_covid_deaths_council_area[[#This Row],[North Lanarkshire]]+weekly_covid_deaths_council_area[[#This Row],[South Lanarkshire]]</f>
        <v>83</v>
      </c>
      <c r="N22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115</v>
      </c>
      <c r="O22" s="60">
        <f>weekly_covid_deaths_council_area[[#This Row],[Orkney Islands]]</f>
        <v>0</v>
      </c>
      <c r="P22" s="60">
        <f>weekly_covid_deaths_council_area[[#This Row],[Shetland Islands]]</f>
        <v>0</v>
      </c>
      <c r="Q22" s="60">
        <f>weekly_covid_deaths_council_area[[#This Row],[Angus]]+weekly_covid_deaths_council_area[[#This Row],[Dundee City]]+weekly_covid_deaths_council_area[[#This Row],[Perth and Kinross]]</f>
        <v>59</v>
      </c>
      <c r="R22" s="60">
        <f>weekly_covid_deaths_council_area[[#This Row],[Na h-Eileanan Siar]]</f>
        <v>0</v>
      </c>
    </row>
    <row r="23" spans="1:18" ht="16.149999999999999" customHeight="1" x14ac:dyDescent="0.35">
      <c r="A23" s="14" t="s">
        <v>85</v>
      </c>
      <c r="B23" s="15">
        <v>18</v>
      </c>
      <c r="C23" s="16">
        <v>43948</v>
      </c>
      <c r="D23" s="20">
        <f>SUM(weekly_covid_deaths_health_board[[#This Row],[Ayrshire and Arran]:[Western Isles]])</f>
        <v>527</v>
      </c>
      <c r="E23" s="19">
        <f>weekly_covid_deaths_council_area[[#This Row],[East Ayrshire]]+weekly_covid_deaths_council_area[[#This Row],[North Ayrshire]]+weekly_covid_deaths_council_area[[#This Row],[South Ayrshire]]</f>
        <v>34</v>
      </c>
      <c r="F23" s="19">
        <f>weekly_covid_deaths_council_area[[#This Row],[Scottish Borders ]]</f>
        <v>4</v>
      </c>
      <c r="G23" s="19">
        <f>weekly_covid_deaths_council_area[[#This Row],[Dumfries and Galloway]]</f>
        <v>6</v>
      </c>
      <c r="H23" s="19">
        <f>weekly_covid_deaths_council_area[[#This Row],[Fife]]</f>
        <v>25</v>
      </c>
      <c r="I23" s="19">
        <f>weekly_covid_deaths_council_area[[#This Row],[Clackmannanshire]]+weekly_covid_deaths_council_area[[#This Row],[Falkirk]]+weekly_covid_deaths_council_area[[#This Row],[Stirling]]</f>
        <v>32</v>
      </c>
      <c r="J23" s="19">
        <f>weekly_covid_deaths_council_area[[#This Row],[Aberdeen City]]+weekly_covid_deaths_council_area[[#This Row],[Aberdeenshire]]+weekly_covid_deaths_council_area[[#This Row],[Moray]]</f>
        <v>30</v>
      </c>
      <c r="K23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172</v>
      </c>
      <c r="L23" s="19">
        <f>weekly_covid_deaths_council_area[[#This Row],[Highland]]+weekly_covid_deaths_council_area[[#This Row],[Argyll and Bute]]</f>
        <v>16</v>
      </c>
      <c r="M23" s="60">
        <f>weekly_covid_deaths_council_area[[#This Row],[North Lanarkshire]]+weekly_covid_deaths_council_area[[#This Row],[South Lanarkshire]]</f>
        <v>74</v>
      </c>
      <c r="N23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99</v>
      </c>
      <c r="O23" s="60">
        <f>weekly_covid_deaths_council_area[[#This Row],[Orkney Islands]]</f>
        <v>0</v>
      </c>
      <c r="P23" s="60">
        <f>weekly_covid_deaths_council_area[[#This Row],[Shetland Islands]]</f>
        <v>1</v>
      </c>
      <c r="Q23" s="60">
        <f>weekly_covid_deaths_council_area[[#This Row],[Angus]]+weekly_covid_deaths_council_area[[#This Row],[Dundee City]]+weekly_covid_deaths_council_area[[#This Row],[Perth and Kinross]]</f>
        <v>34</v>
      </c>
      <c r="R23" s="60">
        <f>weekly_covid_deaths_council_area[[#This Row],[Na h-Eileanan Siar]]</f>
        <v>0</v>
      </c>
    </row>
    <row r="24" spans="1:18" ht="16.149999999999999" customHeight="1" x14ac:dyDescent="0.35">
      <c r="A24" s="14" t="s">
        <v>85</v>
      </c>
      <c r="B24" s="15">
        <v>19</v>
      </c>
      <c r="C24" s="16">
        <v>43955</v>
      </c>
      <c r="D24" s="20">
        <f>SUM(weekly_covid_deaths_health_board[[#This Row],[Ayrshire and Arran]:[Western Isles]])</f>
        <v>414</v>
      </c>
      <c r="E24" s="19">
        <f>weekly_covid_deaths_council_area[[#This Row],[East Ayrshire]]+weekly_covid_deaths_council_area[[#This Row],[North Ayrshire]]+weekly_covid_deaths_council_area[[#This Row],[South Ayrshire]]</f>
        <v>28</v>
      </c>
      <c r="F24" s="19">
        <f>weekly_covid_deaths_council_area[[#This Row],[Scottish Borders ]]</f>
        <v>3</v>
      </c>
      <c r="G24" s="19">
        <f>weekly_covid_deaths_council_area[[#This Row],[Dumfries and Galloway]]</f>
        <v>6</v>
      </c>
      <c r="H24" s="19">
        <f>weekly_covid_deaths_council_area[[#This Row],[Fife]]</f>
        <v>19</v>
      </c>
      <c r="I24" s="19">
        <f>weekly_covid_deaths_council_area[[#This Row],[Clackmannanshire]]+weekly_covid_deaths_council_area[[#This Row],[Falkirk]]+weekly_covid_deaths_council_area[[#This Row],[Stirling]]</f>
        <v>31</v>
      </c>
      <c r="J24" s="19">
        <f>weekly_covid_deaths_council_area[[#This Row],[Aberdeen City]]+weekly_covid_deaths_council_area[[#This Row],[Aberdeenshire]]+weekly_covid_deaths_council_area[[#This Row],[Moray]]</f>
        <v>28</v>
      </c>
      <c r="K24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125</v>
      </c>
      <c r="L24" s="19">
        <f>weekly_covid_deaths_council_area[[#This Row],[Highland]]+weekly_covid_deaths_council_area[[#This Row],[Argyll and Bute]]</f>
        <v>9</v>
      </c>
      <c r="M24" s="60">
        <f>weekly_covid_deaths_council_area[[#This Row],[North Lanarkshire]]+weekly_covid_deaths_council_area[[#This Row],[South Lanarkshire]]</f>
        <v>51</v>
      </c>
      <c r="N24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81</v>
      </c>
      <c r="O24" s="60">
        <f>weekly_covid_deaths_council_area[[#This Row],[Orkney Islands]]</f>
        <v>0</v>
      </c>
      <c r="P24" s="60">
        <f>weekly_covid_deaths_council_area[[#This Row],[Shetland Islands]]</f>
        <v>0</v>
      </c>
      <c r="Q24" s="60">
        <f>weekly_covid_deaths_council_area[[#This Row],[Angus]]+weekly_covid_deaths_council_area[[#This Row],[Dundee City]]+weekly_covid_deaths_council_area[[#This Row],[Perth and Kinross]]</f>
        <v>33</v>
      </c>
      <c r="R24" s="60">
        <f>weekly_covid_deaths_council_area[[#This Row],[Na h-Eileanan Siar]]</f>
        <v>0</v>
      </c>
    </row>
    <row r="25" spans="1:18" ht="16.149999999999999" customHeight="1" x14ac:dyDescent="0.35">
      <c r="A25" s="14" t="s">
        <v>85</v>
      </c>
      <c r="B25" s="15">
        <v>20</v>
      </c>
      <c r="C25" s="16">
        <v>43962</v>
      </c>
      <c r="D25" s="20">
        <f>SUM(weekly_covid_deaths_health_board[[#This Row],[Ayrshire and Arran]:[Western Isles]])</f>
        <v>336</v>
      </c>
      <c r="E25" s="19">
        <f>weekly_covid_deaths_council_area[[#This Row],[East Ayrshire]]+weekly_covid_deaths_council_area[[#This Row],[North Ayrshire]]+weekly_covid_deaths_council_area[[#This Row],[South Ayrshire]]</f>
        <v>21</v>
      </c>
      <c r="F25" s="19">
        <f>weekly_covid_deaths_council_area[[#This Row],[Scottish Borders ]]</f>
        <v>6</v>
      </c>
      <c r="G25" s="19">
        <f>weekly_covid_deaths_council_area[[#This Row],[Dumfries and Galloway]]</f>
        <v>1</v>
      </c>
      <c r="H25" s="19">
        <f>weekly_covid_deaths_council_area[[#This Row],[Fife]]</f>
        <v>15</v>
      </c>
      <c r="I25" s="19">
        <f>weekly_covid_deaths_council_area[[#This Row],[Clackmannanshire]]+weekly_covid_deaths_council_area[[#This Row],[Falkirk]]+weekly_covid_deaths_council_area[[#This Row],[Stirling]]</f>
        <v>17</v>
      </c>
      <c r="J25" s="19">
        <f>weekly_covid_deaths_council_area[[#This Row],[Aberdeen City]]+weekly_covid_deaths_council_area[[#This Row],[Aberdeenshire]]+weekly_covid_deaths_council_area[[#This Row],[Moray]]</f>
        <v>27</v>
      </c>
      <c r="K25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118</v>
      </c>
      <c r="L25" s="19">
        <f>weekly_covid_deaths_council_area[[#This Row],[Highland]]+weekly_covid_deaths_council_area[[#This Row],[Argyll and Bute]]</f>
        <v>6</v>
      </c>
      <c r="M25" s="60">
        <f>weekly_covid_deaths_council_area[[#This Row],[North Lanarkshire]]+weekly_covid_deaths_council_area[[#This Row],[South Lanarkshire]]</f>
        <v>46</v>
      </c>
      <c r="N25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54</v>
      </c>
      <c r="O25" s="60">
        <f>weekly_covid_deaths_council_area[[#This Row],[Orkney Islands]]</f>
        <v>0</v>
      </c>
      <c r="P25" s="60">
        <f>weekly_covid_deaths_council_area[[#This Row],[Shetland Islands]]</f>
        <v>0</v>
      </c>
      <c r="Q25" s="60">
        <f>weekly_covid_deaths_council_area[[#This Row],[Angus]]+weekly_covid_deaths_council_area[[#This Row],[Dundee City]]+weekly_covid_deaths_council_area[[#This Row],[Perth and Kinross]]</f>
        <v>25</v>
      </c>
      <c r="R25" s="60">
        <f>weekly_covid_deaths_council_area[[#This Row],[Na h-Eileanan Siar]]</f>
        <v>0</v>
      </c>
    </row>
    <row r="26" spans="1:18" ht="16.149999999999999" customHeight="1" x14ac:dyDescent="0.35">
      <c r="A26" s="14" t="s">
        <v>85</v>
      </c>
      <c r="B26" s="15">
        <v>21</v>
      </c>
      <c r="C26" s="16">
        <v>43969</v>
      </c>
      <c r="D26" s="20">
        <f>SUM(weekly_covid_deaths_health_board[[#This Row],[Ayrshire and Arran]:[Western Isles]])</f>
        <v>230</v>
      </c>
      <c r="E26" s="19">
        <f>weekly_covid_deaths_council_area[[#This Row],[East Ayrshire]]+weekly_covid_deaths_council_area[[#This Row],[North Ayrshire]]+weekly_covid_deaths_council_area[[#This Row],[South Ayrshire]]</f>
        <v>21</v>
      </c>
      <c r="F26" s="19">
        <f>weekly_covid_deaths_council_area[[#This Row],[Scottish Borders ]]</f>
        <v>4</v>
      </c>
      <c r="G26" s="19">
        <f>weekly_covid_deaths_council_area[[#This Row],[Dumfries and Galloway]]</f>
        <v>0</v>
      </c>
      <c r="H26" s="19">
        <f>weekly_covid_deaths_council_area[[#This Row],[Fife]]</f>
        <v>4</v>
      </c>
      <c r="I26" s="19">
        <f>weekly_covid_deaths_council_area[[#This Row],[Clackmannanshire]]+weekly_covid_deaths_council_area[[#This Row],[Falkirk]]+weekly_covid_deaths_council_area[[#This Row],[Stirling]]</f>
        <v>12</v>
      </c>
      <c r="J26" s="19">
        <f>weekly_covid_deaths_council_area[[#This Row],[Aberdeen City]]+weekly_covid_deaths_council_area[[#This Row],[Aberdeenshire]]+weekly_covid_deaths_council_area[[#This Row],[Moray]]</f>
        <v>17</v>
      </c>
      <c r="K26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75</v>
      </c>
      <c r="L26" s="19">
        <f>weekly_covid_deaths_council_area[[#This Row],[Highland]]+weekly_covid_deaths_council_area[[#This Row],[Argyll and Bute]]</f>
        <v>4</v>
      </c>
      <c r="M26" s="60">
        <f>weekly_covid_deaths_council_area[[#This Row],[North Lanarkshire]]+weekly_covid_deaths_council_area[[#This Row],[South Lanarkshire]]</f>
        <v>30</v>
      </c>
      <c r="N26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44</v>
      </c>
      <c r="O26" s="60">
        <f>weekly_covid_deaths_council_area[[#This Row],[Orkney Islands]]</f>
        <v>0</v>
      </c>
      <c r="P26" s="60">
        <f>weekly_covid_deaths_council_area[[#This Row],[Shetland Islands]]</f>
        <v>0</v>
      </c>
      <c r="Q26" s="60">
        <f>weekly_covid_deaths_council_area[[#This Row],[Angus]]+weekly_covid_deaths_council_area[[#This Row],[Dundee City]]+weekly_covid_deaths_council_area[[#This Row],[Perth and Kinross]]</f>
        <v>19</v>
      </c>
      <c r="R26" s="60">
        <f>weekly_covid_deaths_council_area[[#This Row],[Na h-Eileanan Siar]]</f>
        <v>0</v>
      </c>
    </row>
    <row r="27" spans="1:18" ht="16.149999999999999" customHeight="1" x14ac:dyDescent="0.35">
      <c r="A27" s="14" t="s">
        <v>85</v>
      </c>
      <c r="B27" s="15">
        <v>22</v>
      </c>
      <c r="C27" s="16">
        <v>43976</v>
      </c>
      <c r="D27" s="21">
        <f>SUM(weekly_covid_deaths_health_board[[#This Row],[Ayrshire and Arran]:[Western Isles]])</f>
        <v>131</v>
      </c>
      <c r="E27" s="19">
        <f>weekly_covid_deaths_council_area[[#This Row],[East Ayrshire]]+weekly_covid_deaths_council_area[[#This Row],[North Ayrshire]]+weekly_covid_deaths_council_area[[#This Row],[South Ayrshire]]</f>
        <v>14</v>
      </c>
      <c r="F27" s="19">
        <f>weekly_covid_deaths_council_area[[#This Row],[Scottish Borders ]]</f>
        <v>4</v>
      </c>
      <c r="G27" s="19">
        <f>weekly_covid_deaths_council_area[[#This Row],[Dumfries and Galloway]]</f>
        <v>0</v>
      </c>
      <c r="H27" s="19">
        <f>weekly_covid_deaths_council_area[[#This Row],[Fife]]</f>
        <v>8</v>
      </c>
      <c r="I27" s="19">
        <f>weekly_covid_deaths_council_area[[#This Row],[Clackmannanshire]]+weekly_covid_deaths_council_area[[#This Row],[Falkirk]]+weekly_covid_deaths_council_area[[#This Row],[Stirling]]</f>
        <v>3</v>
      </c>
      <c r="J27" s="19">
        <f>weekly_covid_deaths_council_area[[#This Row],[Aberdeen City]]+weekly_covid_deaths_council_area[[#This Row],[Aberdeenshire]]+weekly_covid_deaths_council_area[[#This Row],[Moray]]</f>
        <v>9</v>
      </c>
      <c r="K27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30</v>
      </c>
      <c r="L27" s="19">
        <f>weekly_covid_deaths_council_area[[#This Row],[Highland]]+weekly_covid_deaths_council_area[[#This Row],[Argyll and Bute]]</f>
        <v>4</v>
      </c>
      <c r="M27" s="60">
        <f>weekly_covid_deaths_council_area[[#This Row],[North Lanarkshire]]+weekly_covid_deaths_council_area[[#This Row],[South Lanarkshire]]</f>
        <v>22</v>
      </c>
      <c r="N2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24</v>
      </c>
      <c r="O27" s="60">
        <f>weekly_covid_deaths_council_area[[#This Row],[Orkney Islands]]</f>
        <v>0</v>
      </c>
      <c r="P27" s="60">
        <f>weekly_covid_deaths_council_area[[#This Row],[Shetland Islands]]</f>
        <v>0</v>
      </c>
      <c r="Q27" s="60">
        <f>weekly_covid_deaths_council_area[[#This Row],[Angus]]+weekly_covid_deaths_council_area[[#This Row],[Dundee City]]+weekly_covid_deaths_council_area[[#This Row],[Perth and Kinross]]</f>
        <v>13</v>
      </c>
      <c r="R27" s="60">
        <f>weekly_covid_deaths_council_area[[#This Row],[Na h-Eileanan Siar]]</f>
        <v>0</v>
      </c>
    </row>
    <row r="28" spans="1:18" ht="16.149999999999999" customHeight="1" x14ac:dyDescent="0.35">
      <c r="A28" s="14" t="s">
        <v>85</v>
      </c>
      <c r="B28" s="15">
        <v>23</v>
      </c>
      <c r="C28" s="16">
        <v>43983</v>
      </c>
      <c r="D28" s="20">
        <f>SUM(weekly_covid_deaths_health_board[[#This Row],[Ayrshire and Arran]:[Western Isles]])</f>
        <v>91</v>
      </c>
      <c r="E28" s="19">
        <f>weekly_covid_deaths_council_area[[#This Row],[East Ayrshire]]+weekly_covid_deaths_council_area[[#This Row],[North Ayrshire]]+weekly_covid_deaths_council_area[[#This Row],[South Ayrshire]]</f>
        <v>6</v>
      </c>
      <c r="F28" s="19">
        <f>weekly_covid_deaths_council_area[[#This Row],[Scottish Borders ]]</f>
        <v>6</v>
      </c>
      <c r="G28" s="19">
        <f>weekly_covid_deaths_council_area[[#This Row],[Dumfries and Galloway]]</f>
        <v>0</v>
      </c>
      <c r="H28" s="19">
        <f>weekly_covid_deaths_council_area[[#This Row],[Fife]]</f>
        <v>3</v>
      </c>
      <c r="I28" s="19">
        <f>weekly_covid_deaths_council_area[[#This Row],[Clackmannanshire]]+weekly_covid_deaths_council_area[[#This Row],[Falkirk]]+weekly_covid_deaths_council_area[[#This Row],[Stirling]]</f>
        <v>4</v>
      </c>
      <c r="J28" s="19">
        <f>weekly_covid_deaths_council_area[[#This Row],[Aberdeen City]]+weekly_covid_deaths_council_area[[#This Row],[Aberdeenshire]]+weekly_covid_deaths_council_area[[#This Row],[Moray]]</f>
        <v>6</v>
      </c>
      <c r="K28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21</v>
      </c>
      <c r="L28" s="19">
        <f>weekly_covid_deaths_council_area[[#This Row],[Highland]]+weekly_covid_deaths_council_area[[#This Row],[Argyll and Bute]]</f>
        <v>2</v>
      </c>
      <c r="M28" s="60">
        <f>weekly_covid_deaths_council_area[[#This Row],[North Lanarkshire]]+weekly_covid_deaths_council_area[[#This Row],[South Lanarkshire]]</f>
        <v>19</v>
      </c>
      <c r="N2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15</v>
      </c>
      <c r="O28" s="60">
        <f>weekly_covid_deaths_council_area[[#This Row],[Orkney Islands]]</f>
        <v>0</v>
      </c>
      <c r="P28" s="60">
        <f>weekly_covid_deaths_council_area[[#This Row],[Shetland Islands]]</f>
        <v>0</v>
      </c>
      <c r="Q28" s="60">
        <f>weekly_covid_deaths_council_area[[#This Row],[Angus]]+weekly_covid_deaths_council_area[[#This Row],[Dundee City]]+weekly_covid_deaths_council_area[[#This Row],[Perth and Kinross]]</f>
        <v>9</v>
      </c>
      <c r="R28" s="60">
        <f>weekly_covid_deaths_council_area[[#This Row],[Na h-Eileanan Siar]]</f>
        <v>0</v>
      </c>
    </row>
    <row r="29" spans="1:18" ht="16.149999999999999" customHeight="1" x14ac:dyDescent="0.35">
      <c r="A29" s="14" t="s">
        <v>85</v>
      </c>
      <c r="B29" s="15">
        <v>24</v>
      </c>
      <c r="C29" s="16">
        <v>43990</v>
      </c>
      <c r="D29" s="20">
        <f>SUM(weekly_covid_deaths_health_board[[#This Row],[Ayrshire and Arran]:[Western Isles]])</f>
        <v>67</v>
      </c>
      <c r="E29" s="19">
        <f>weekly_covid_deaths_council_area[[#This Row],[East Ayrshire]]+weekly_covid_deaths_council_area[[#This Row],[North Ayrshire]]+weekly_covid_deaths_council_area[[#This Row],[South Ayrshire]]</f>
        <v>6</v>
      </c>
      <c r="F29" s="19">
        <f>weekly_covid_deaths_council_area[[#This Row],[Scottish Borders ]]</f>
        <v>3</v>
      </c>
      <c r="G29" s="19">
        <f>weekly_covid_deaths_council_area[[#This Row],[Dumfries and Galloway]]</f>
        <v>0</v>
      </c>
      <c r="H29" s="19">
        <f>weekly_covid_deaths_council_area[[#This Row],[Fife]]</f>
        <v>3</v>
      </c>
      <c r="I29" s="19">
        <f>weekly_covid_deaths_council_area[[#This Row],[Clackmannanshire]]+weekly_covid_deaths_council_area[[#This Row],[Falkirk]]+weekly_covid_deaths_council_area[[#This Row],[Stirling]]</f>
        <v>5</v>
      </c>
      <c r="J29" s="19">
        <f>weekly_covid_deaths_council_area[[#This Row],[Aberdeen City]]+weekly_covid_deaths_council_area[[#This Row],[Aberdeenshire]]+weekly_covid_deaths_council_area[[#This Row],[Moray]]</f>
        <v>6</v>
      </c>
      <c r="K29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17</v>
      </c>
      <c r="L29" s="19">
        <f>weekly_covid_deaths_council_area[[#This Row],[Highland]]+weekly_covid_deaths_council_area[[#This Row],[Argyll and Bute]]</f>
        <v>0</v>
      </c>
      <c r="M29" s="60">
        <f>weekly_covid_deaths_council_area[[#This Row],[North Lanarkshire]]+weekly_covid_deaths_council_area[[#This Row],[South Lanarkshire]]</f>
        <v>8</v>
      </c>
      <c r="N29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10</v>
      </c>
      <c r="O29" s="60">
        <f>weekly_covid_deaths_council_area[[#This Row],[Orkney Islands]]</f>
        <v>0</v>
      </c>
      <c r="P29" s="60">
        <f>weekly_covid_deaths_council_area[[#This Row],[Shetland Islands]]</f>
        <v>0</v>
      </c>
      <c r="Q29" s="60">
        <f>weekly_covid_deaths_council_area[[#This Row],[Angus]]+weekly_covid_deaths_council_area[[#This Row],[Dundee City]]+weekly_covid_deaths_council_area[[#This Row],[Perth and Kinross]]</f>
        <v>9</v>
      </c>
      <c r="R29" s="60">
        <f>weekly_covid_deaths_council_area[[#This Row],[Na h-Eileanan Siar]]</f>
        <v>0</v>
      </c>
    </row>
    <row r="30" spans="1:18" ht="16.149999999999999" customHeight="1" x14ac:dyDescent="0.35">
      <c r="A30" s="14" t="s">
        <v>85</v>
      </c>
      <c r="B30" s="15">
        <v>25</v>
      </c>
      <c r="C30" s="16">
        <v>43997</v>
      </c>
      <c r="D30" s="20">
        <f>SUM(weekly_covid_deaths_health_board[[#This Row],[Ayrshire and Arran]:[Western Isles]])</f>
        <v>49</v>
      </c>
      <c r="E30" s="19">
        <f>weekly_covid_deaths_council_area[[#This Row],[East Ayrshire]]+weekly_covid_deaths_council_area[[#This Row],[North Ayrshire]]+weekly_covid_deaths_council_area[[#This Row],[South Ayrshire]]</f>
        <v>4</v>
      </c>
      <c r="F30" s="19">
        <f>weekly_covid_deaths_council_area[[#This Row],[Scottish Borders ]]</f>
        <v>1</v>
      </c>
      <c r="G30" s="19">
        <f>weekly_covid_deaths_council_area[[#This Row],[Dumfries and Galloway]]</f>
        <v>0</v>
      </c>
      <c r="H30" s="19">
        <f>weekly_covid_deaths_council_area[[#This Row],[Fife]]</f>
        <v>2</v>
      </c>
      <c r="I30" s="19">
        <f>weekly_covid_deaths_council_area[[#This Row],[Clackmannanshire]]+weekly_covid_deaths_council_area[[#This Row],[Falkirk]]+weekly_covid_deaths_council_area[[#This Row],[Stirling]]</f>
        <v>4</v>
      </c>
      <c r="J30" s="19">
        <f>weekly_covid_deaths_council_area[[#This Row],[Aberdeen City]]+weekly_covid_deaths_council_area[[#This Row],[Aberdeenshire]]+weekly_covid_deaths_council_area[[#This Row],[Moray]]</f>
        <v>4</v>
      </c>
      <c r="K30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15</v>
      </c>
      <c r="L30" s="19">
        <f>weekly_covid_deaths_council_area[[#This Row],[Highland]]+weekly_covid_deaths_council_area[[#This Row],[Argyll and Bute]]</f>
        <v>0</v>
      </c>
      <c r="M30" s="60">
        <f>weekly_covid_deaths_council_area[[#This Row],[North Lanarkshire]]+weekly_covid_deaths_council_area[[#This Row],[South Lanarkshire]]</f>
        <v>8</v>
      </c>
      <c r="N30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9</v>
      </c>
      <c r="O30" s="60">
        <f>weekly_covid_deaths_council_area[[#This Row],[Orkney Islands]]</f>
        <v>0</v>
      </c>
      <c r="P30" s="60">
        <f>weekly_covid_deaths_council_area[[#This Row],[Shetland Islands]]</f>
        <v>0</v>
      </c>
      <c r="Q30" s="60">
        <f>weekly_covid_deaths_council_area[[#This Row],[Angus]]+weekly_covid_deaths_council_area[[#This Row],[Dundee City]]+weekly_covid_deaths_council_area[[#This Row],[Perth and Kinross]]</f>
        <v>2</v>
      </c>
      <c r="R30" s="60">
        <f>weekly_covid_deaths_council_area[[#This Row],[Na h-Eileanan Siar]]</f>
        <v>0</v>
      </c>
    </row>
    <row r="31" spans="1:18" ht="16.149999999999999" customHeight="1" x14ac:dyDescent="0.35">
      <c r="A31" s="14" t="s">
        <v>85</v>
      </c>
      <c r="B31" s="15">
        <v>26</v>
      </c>
      <c r="C31" s="16">
        <v>44004</v>
      </c>
      <c r="D31" s="3">
        <f>SUM(weekly_covid_deaths_health_board[[#This Row],[Ayrshire and Arran]:[Western Isles]])</f>
        <v>36</v>
      </c>
      <c r="E31" s="19">
        <f>weekly_covid_deaths_council_area[[#This Row],[East Ayrshire]]+weekly_covid_deaths_council_area[[#This Row],[North Ayrshire]]+weekly_covid_deaths_council_area[[#This Row],[South Ayrshire]]</f>
        <v>1</v>
      </c>
      <c r="F31" s="19">
        <f>weekly_covid_deaths_council_area[[#This Row],[Scottish Borders ]]</f>
        <v>0</v>
      </c>
      <c r="G31" s="19">
        <f>weekly_covid_deaths_council_area[[#This Row],[Dumfries and Galloway]]</f>
        <v>0</v>
      </c>
      <c r="H31" s="19">
        <f>weekly_covid_deaths_council_area[[#This Row],[Fife]]</f>
        <v>3</v>
      </c>
      <c r="I31" s="19">
        <f>weekly_covid_deaths_council_area[[#This Row],[Clackmannanshire]]+weekly_covid_deaths_council_area[[#This Row],[Falkirk]]+weekly_covid_deaths_council_area[[#This Row],[Stirling]]</f>
        <v>3</v>
      </c>
      <c r="J31" s="19">
        <f>weekly_covid_deaths_council_area[[#This Row],[Aberdeen City]]+weekly_covid_deaths_council_area[[#This Row],[Aberdeenshire]]+weekly_covid_deaths_council_area[[#This Row],[Moray]]</f>
        <v>3</v>
      </c>
      <c r="K31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8</v>
      </c>
      <c r="L31" s="19">
        <f>weekly_covid_deaths_council_area[[#This Row],[Highland]]+weekly_covid_deaths_council_area[[#This Row],[Argyll and Bute]]</f>
        <v>0</v>
      </c>
      <c r="M31" s="60">
        <f>weekly_covid_deaths_council_area[[#This Row],[North Lanarkshire]]+weekly_covid_deaths_council_area[[#This Row],[South Lanarkshire]]</f>
        <v>12</v>
      </c>
      <c r="N31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4</v>
      </c>
      <c r="O31" s="60">
        <f>weekly_covid_deaths_council_area[[#This Row],[Orkney Islands]]</f>
        <v>0</v>
      </c>
      <c r="P31" s="60">
        <f>weekly_covid_deaths_council_area[[#This Row],[Shetland Islands]]</f>
        <v>0</v>
      </c>
      <c r="Q31" s="60">
        <f>weekly_covid_deaths_council_area[[#This Row],[Angus]]+weekly_covid_deaths_council_area[[#This Row],[Dundee City]]+weekly_covid_deaths_council_area[[#This Row],[Perth and Kinross]]</f>
        <v>2</v>
      </c>
      <c r="R31" s="60">
        <f>weekly_covid_deaths_council_area[[#This Row],[Na h-Eileanan Siar]]</f>
        <v>0</v>
      </c>
    </row>
    <row r="32" spans="1:18" ht="16.149999999999999" customHeight="1" x14ac:dyDescent="0.35">
      <c r="A32" s="14" t="s">
        <v>85</v>
      </c>
      <c r="B32" s="15">
        <v>27</v>
      </c>
      <c r="C32" s="16">
        <v>44011</v>
      </c>
      <c r="D32" s="20">
        <f>SUM(weekly_covid_deaths_health_board[[#This Row],[Ayrshire and Arran]:[Western Isles]])</f>
        <v>19</v>
      </c>
      <c r="E32" s="19">
        <f>weekly_covid_deaths_council_area[[#This Row],[East Ayrshire]]+weekly_covid_deaths_council_area[[#This Row],[North Ayrshire]]+weekly_covid_deaths_council_area[[#This Row],[South Ayrshire]]</f>
        <v>0</v>
      </c>
      <c r="F32" s="19">
        <f>weekly_covid_deaths_council_area[[#This Row],[Scottish Borders ]]</f>
        <v>1</v>
      </c>
      <c r="G32" s="19">
        <f>weekly_covid_deaths_council_area[[#This Row],[Dumfries and Galloway]]</f>
        <v>0</v>
      </c>
      <c r="H32" s="19">
        <f>weekly_covid_deaths_council_area[[#This Row],[Fife]]</f>
        <v>0</v>
      </c>
      <c r="I32" s="19">
        <f>weekly_covid_deaths_council_area[[#This Row],[Clackmannanshire]]+weekly_covid_deaths_council_area[[#This Row],[Falkirk]]+weekly_covid_deaths_council_area[[#This Row],[Stirling]]</f>
        <v>1</v>
      </c>
      <c r="J32" s="19">
        <f>weekly_covid_deaths_council_area[[#This Row],[Aberdeen City]]+weekly_covid_deaths_council_area[[#This Row],[Aberdeenshire]]+weekly_covid_deaths_council_area[[#This Row],[Moray]]</f>
        <v>0</v>
      </c>
      <c r="K32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4</v>
      </c>
      <c r="L32" s="19">
        <f>weekly_covid_deaths_council_area[[#This Row],[Highland]]+weekly_covid_deaths_council_area[[#This Row],[Argyll and Bute]]</f>
        <v>0</v>
      </c>
      <c r="M32" s="60">
        <f>weekly_covid_deaths_council_area[[#This Row],[North Lanarkshire]]+weekly_covid_deaths_council_area[[#This Row],[South Lanarkshire]]</f>
        <v>3</v>
      </c>
      <c r="N32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7</v>
      </c>
      <c r="O32" s="60">
        <f>weekly_covid_deaths_council_area[[#This Row],[Orkney Islands]]</f>
        <v>0</v>
      </c>
      <c r="P32" s="60">
        <f>weekly_covid_deaths_council_area[[#This Row],[Shetland Islands]]</f>
        <v>0</v>
      </c>
      <c r="Q32" s="60">
        <f>weekly_covid_deaths_council_area[[#This Row],[Angus]]+weekly_covid_deaths_council_area[[#This Row],[Dundee City]]+weekly_covid_deaths_council_area[[#This Row],[Perth and Kinross]]</f>
        <v>3</v>
      </c>
      <c r="R32" s="60">
        <f>weekly_covid_deaths_council_area[[#This Row],[Na h-Eileanan Siar]]</f>
        <v>0</v>
      </c>
    </row>
    <row r="33" spans="1:18" ht="16.149999999999999" customHeight="1" x14ac:dyDescent="0.35">
      <c r="A33" s="14" t="s">
        <v>85</v>
      </c>
      <c r="B33" s="15">
        <v>28</v>
      </c>
      <c r="C33" s="16">
        <v>44018</v>
      </c>
      <c r="D33" s="20">
        <f>SUM(weekly_covid_deaths_health_board[[#This Row],[Ayrshire and Arran]:[Western Isles]])</f>
        <v>13</v>
      </c>
      <c r="E33" s="19">
        <f>weekly_covid_deaths_council_area[[#This Row],[East Ayrshire]]+weekly_covid_deaths_council_area[[#This Row],[North Ayrshire]]+weekly_covid_deaths_council_area[[#This Row],[South Ayrshire]]</f>
        <v>0</v>
      </c>
      <c r="F33" s="19">
        <f>weekly_covid_deaths_council_area[[#This Row],[Scottish Borders ]]</f>
        <v>1</v>
      </c>
      <c r="G33" s="19">
        <f>weekly_covid_deaths_council_area[[#This Row],[Dumfries and Galloway]]</f>
        <v>0</v>
      </c>
      <c r="H33" s="19">
        <f>weekly_covid_deaths_council_area[[#This Row],[Fife]]</f>
        <v>1</v>
      </c>
      <c r="I33" s="19">
        <f>weekly_covid_deaths_council_area[[#This Row],[Clackmannanshire]]+weekly_covid_deaths_council_area[[#This Row],[Falkirk]]+weekly_covid_deaths_council_area[[#This Row],[Stirling]]</f>
        <v>0</v>
      </c>
      <c r="J33" s="19">
        <f>weekly_covid_deaths_council_area[[#This Row],[Aberdeen City]]+weekly_covid_deaths_council_area[[#This Row],[Aberdeenshire]]+weekly_covid_deaths_council_area[[#This Row],[Moray]]</f>
        <v>1</v>
      </c>
      <c r="K33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</v>
      </c>
      <c r="L33" s="19">
        <f>weekly_covid_deaths_council_area[[#This Row],[Highland]]+weekly_covid_deaths_council_area[[#This Row],[Argyll and Bute]]</f>
        <v>1</v>
      </c>
      <c r="M33" s="60">
        <f>weekly_covid_deaths_council_area[[#This Row],[North Lanarkshire]]+weekly_covid_deaths_council_area[[#This Row],[South Lanarkshire]]</f>
        <v>1</v>
      </c>
      <c r="N33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5</v>
      </c>
      <c r="O33" s="60">
        <f>weekly_covid_deaths_council_area[[#This Row],[Orkney Islands]]</f>
        <v>0</v>
      </c>
      <c r="P33" s="60">
        <f>weekly_covid_deaths_council_area[[#This Row],[Shetland Islands]]</f>
        <v>0</v>
      </c>
      <c r="Q33" s="60">
        <f>weekly_covid_deaths_council_area[[#This Row],[Angus]]+weekly_covid_deaths_council_area[[#This Row],[Dundee City]]+weekly_covid_deaths_council_area[[#This Row],[Perth and Kinross]]</f>
        <v>2</v>
      </c>
      <c r="R33" s="60">
        <f>weekly_covid_deaths_council_area[[#This Row],[Na h-Eileanan Siar]]</f>
        <v>0</v>
      </c>
    </row>
    <row r="34" spans="1:18" ht="16.149999999999999" customHeight="1" x14ac:dyDescent="0.35">
      <c r="A34" s="14" t="s">
        <v>85</v>
      </c>
      <c r="B34" s="15">
        <v>29</v>
      </c>
      <c r="C34" s="16">
        <v>44025</v>
      </c>
      <c r="D34" s="3">
        <f>SUM(weekly_covid_deaths_health_board[[#This Row],[Ayrshire and Arran]:[Western Isles]])</f>
        <v>6</v>
      </c>
      <c r="E34" s="19">
        <f>weekly_covid_deaths_council_area[[#This Row],[East Ayrshire]]+weekly_covid_deaths_council_area[[#This Row],[North Ayrshire]]+weekly_covid_deaths_council_area[[#This Row],[South Ayrshire]]</f>
        <v>0</v>
      </c>
      <c r="F34" s="19">
        <f>weekly_covid_deaths_council_area[[#This Row],[Scottish Borders ]]</f>
        <v>0</v>
      </c>
      <c r="G34" s="19">
        <f>weekly_covid_deaths_council_area[[#This Row],[Dumfries and Galloway]]</f>
        <v>0</v>
      </c>
      <c r="H34" s="19">
        <f>weekly_covid_deaths_council_area[[#This Row],[Fife]]</f>
        <v>0</v>
      </c>
      <c r="I34" s="19">
        <f>weekly_covid_deaths_council_area[[#This Row],[Clackmannanshire]]+weekly_covid_deaths_council_area[[#This Row],[Falkirk]]+weekly_covid_deaths_council_area[[#This Row],[Stirling]]</f>
        <v>2</v>
      </c>
      <c r="J34" s="19">
        <f>weekly_covid_deaths_council_area[[#This Row],[Aberdeen City]]+weekly_covid_deaths_council_area[[#This Row],[Aberdeenshire]]+weekly_covid_deaths_council_area[[#This Row],[Moray]]</f>
        <v>1</v>
      </c>
      <c r="K34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0</v>
      </c>
      <c r="L34" s="19">
        <f>weekly_covid_deaths_council_area[[#This Row],[Highland]]+weekly_covid_deaths_council_area[[#This Row],[Argyll and Bute]]</f>
        <v>0</v>
      </c>
      <c r="M34" s="60">
        <f>weekly_covid_deaths_council_area[[#This Row],[North Lanarkshire]]+weekly_covid_deaths_council_area[[#This Row],[South Lanarkshire]]</f>
        <v>1</v>
      </c>
      <c r="N34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</v>
      </c>
      <c r="O34" s="60">
        <f>weekly_covid_deaths_council_area[[#This Row],[Orkney Islands]]</f>
        <v>0</v>
      </c>
      <c r="P34" s="60">
        <f>weekly_covid_deaths_council_area[[#This Row],[Shetland Islands]]</f>
        <v>0</v>
      </c>
      <c r="Q34" s="60">
        <f>weekly_covid_deaths_council_area[[#This Row],[Angus]]+weekly_covid_deaths_council_area[[#This Row],[Dundee City]]+weekly_covid_deaths_council_area[[#This Row],[Perth and Kinross]]</f>
        <v>0</v>
      </c>
      <c r="R34" s="60">
        <f>weekly_covid_deaths_council_area[[#This Row],[Na h-Eileanan Siar]]</f>
        <v>0</v>
      </c>
    </row>
    <row r="35" spans="1:18" ht="16.149999999999999" customHeight="1" x14ac:dyDescent="0.35">
      <c r="A35" s="14" t="s">
        <v>85</v>
      </c>
      <c r="B35" s="15">
        <v>30</v>
      </c>
      <c r="C35" s="16">
        <v>44032</v>
      </c>
      <c r="D35" s="3">
        <f>SUM(weekly_covid_deaths_health_board[[#This Row],[Ayrshire and Arran]:[Western Isles]])</f>
        <v>8</v>
      </c>
      <c r="E35" s="19">
        <f>weekly_covid_deaths_council_area[[#This Row],[East Ayrshire]]+weekly_covid_deaths_council_area[[#This Row],[North Ayrshire]]+weekly_covid_deaths_council_area[[#This Row],[South Ayrshire]]</f>
        <v>1</v>
      </c>
      <c r="F35" s="19">
        <f>weekly_covid_deaths_council_area[[#This Row],[Scottish Borders ]]</f>
        <v>0</v>
      </c>
      <c r="G35" s="19">
        <f>weekly_covid_deaths_council_area[[#This Row],[Dumfries and Galloway]]</f>
        <v>0</v>
      </c>
      <c r="H35" s="19">
        <f>weekly_covid_deaths_council_area[[#This Row],[Fife]]</f>
        <v>2</v>
      </c>
      <c r="I35" s="19">
        <f>weekly_covid_deaths_council_area[[#This Row],[Clackmannanshire]]+weekly_covid_deaths_council_area[[#This Row],[Falkirk]]+weekly_covid_deaths_council_area[[#This Row],[Stirling]]</f>
        <v>0</v>
      </c>
      <c r="J35" s="19">
        <f>weekly_covid_deaths_council_area[[#This Row],[Aberdeen City]]+weekly_covid_deaths_council_area[[#This Row],[Aberdeenshire]]+weekly_covid_deaths_council_area[[#This Row],[Moray]]</f>
        <v>0</v>
      </c>
      <c r="K35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35" s="19">
        <f>weekly_covid_deaths_council_area[[#This Row],[Highland]]+weekly_covid_deaths_council_area[[#This Row],[Argyll and Bute]]</f>
        <v>0</v>
      </c>
      <c r="M35" s="60">
        <f>weekly_covid_deaths_council_area[[#This Row],[North Lanarkshire]]+weekly_covid_deaths_council_area[[#This Row],[South Lanarkshire]]</f>
        <v>2</v>
      </c>
      <c r="N35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35" s="60">
        <f>weekly_covid_deaths_council_area[[#This Row],[Orkney Islands]]</f>
        <v>0</v>
      </c>
      <c r="P35" s="60">
        <f>weekly_covid_deaths_council_area[[#This Row],[Shetland Islands]]</f>
        <v>0</v>
      </c>
      <c r="Q35" s="60">
        <f>weekly_covid_deaths_council_area[[#This Row],[Angus]]+weekly_covid_deaths_council_area[[#This Row],[Dundee City]]+weekly_covid_deaths_council_area[[#This Row],[Perth and Kinross]]</f>
        <v>0</v>
      </c>
      <c r="R35" s="60">
        <f>weekly_covid_deaths_council_area[[#This Row],[Na h-Eileanan Siar]]</f>
        <v>0</v>
      </c>
    </row>
    <row r="36" spans="1:18" ht="16.149999999999999" customHeight="1" x14ac:dyDescent="0.35">
      <c r="A36" s="14" t="s">
        <v>85</v>
      </c>
      <c r="B36" s="15">
        <v>31</v>
      </c>
      <c r="C36" s="16">
        <v>44039</v>
      </c>
      <c r="D36" s="20">
        <f>SUM(weekly_covid_deaths_health_board[[#This Row],[Ayrshire and Arran]:[Western Isles]])</f>
        <v>6</v>
      </c>
      <c r="E36" s="19">
        <f>weekly_covid_deaths_council_area[[#This Row],[East Ayrshire]]+weekly_covid_deaths_council_area[[#This Row],[North Ayrshire]]+weekly_covid_deaths_council_area[[#This Row],[South Ayrshire]]</f>
        <v>0</v>
      </c>
      <c r="F36" s="19">
        <f>weekly_covid_deaths_council_area[[#This Row],[Scottish Borders ]]</f>
        <v>0</v>
      </c>
      <c r="G36" s="19">
        <f>weekly_covid_deaths_council_area[[#This Row],[Dumfries and Galloway]]</f>
        <v>0</v>
      </c>
      <c r="H36" s="19">
        <f>weekly_covid_deaths_council_area[[#This Row],[Fife]]</f>
        <v>0</v>
      </c>
      <c r="I36" s="19">
        <f>weekly_covid_deaths_council_area[[#This Row],[Clackmannanshire]]+weekly_covid_deaths_council_area[[#This Row],[Falkirk]]+weekly_covid_deaths_council_area[[#This Row],[Stirling]]</f>
        <v>2</v>
      </c>
      <c r="J36" s="19">
        <f>weekly_covid_deaths_council_area[[#This Row],[Aberdeen City]]+weekly_covid_deaths_council_area[[#This Row],[Aberdeenshire]]+weekly_covid_deaths_council_area[[#This Row],[Moray]]</f>
        <v>0</v>
      </c>
      <c r="K36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2</v>
      </c>
      <c r="L36" s="19">
        <f>weekly_covid_deaths_council_area[[#This Row],[Highland]]+weekly_covid_deaths_council_area[[#This Row],[Argyll and Bute]]</f>
        <v>0</v>
      </c>
      <c r="M36" s="60">
        <f>weekly_covid_deaths_council_area[[#This Row],[North Lanarkshire]]+weekly_covid_deaths_council_area[[#This Row],[South Lanarkshire]]</f>
        <v>1</v>
      </c>
      <c r="N36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</v>
      </c>
      <c r="O36" s="60">
        <f>weekly_covid_deaths_council_area[[#This Row],[Orkney Islands]]</f>
        <v>0</v>
      </c>
      <c r="P36" s="60">
        <f>weekly_covid_deaths_council_area[[#This Row],[Shetland Islands]]</f>
        <v>0</v>
      </c>
      <c r="Q36" s="60">
        <f>weekly_covid_deaths_council_area[[#This Row],[Angus]]+weekly_covid_deaths_council_area[[#This Row],[Dundee City]]+weekly_covid_deaths_council_area[[#This Row],[Perth and Kinross]]</f>
        <v>0</v>
      </c>
      <c r="R36" s="60">
        <f>weekly_covid_deaths_council_area[[#This Row],[Na h-Eileanan Siar]]</f>
        <v>0</v>
      </c>
    </row>
    <row r="37" spans="1:18" ht="16.149999999999999" customHeight="1" x14ac:dyDescent="0.35">
      <c r="A37" s="14" t="s">
        <v>85</v>
      </c>
      <c r="B37" s="15">
        <v>32</v>
      </c>
      <c r="C37" s="16">
        <v>44046</v>
      </c>
      <c r="D37" s="20">
        <f>SUM(weekly_covid_deaths_health_board[[#This Row],[Ayrshire and Arran]:[Western Isles]])</f>
        <v>5</v>
      </c>
      <c r="E37" s="19">
        <f>weekly_covid_deaths_council_area[[#This Row],[East Ayrshire]]+weekly_covid_deaths_council_area[[#This Row],[North Ayrshire]]+weekly_covid_deaths_council_area[[#This Row],[South Ayrshire]]</f>
        <v>0</v>
      </c>
      <c r="F37" s="19">
        <f>weekly_covid_deaths_council_area[[#This Row],[Scottish Borders ]]</f>
        <v>0</v>
      </c>
      <c r="G37" s="19">
        <f>weekly_covid_deaths_council_area[[#This Row],[Dumfries and Galloway]]</f>
        <v>0</v>
      </c>
      <c r="H37" s="19">
        <f>weekly_covid_deaths_council_area[[#This Row],[Fife]]</f>
        <v>0</v>
      </c>
      <c r="I37" s="19">
        <f>weekly_covid_deaths_council_area[[#This Row],[Clackmannanshire]]+weekly_covid_deaths_council_area[[#This Row],[Falkirk]]+weekly_covid_deaths_council_area[[#This Row],[Stirling]]</f>
        <v>1</v>
      </c>
      <c r="J37" s="19">
        <f>weekly_covid_deaths_council_area[[#This Row],[Aberdeen City]]+weekly_covid_deaths_council_area[[#This Row],[Aberdeenshire]]+weekly_covid_deaths_council_area[[#This Row],[Moray]]</f>
        <v>0</v>
      </c>
      <c r="K37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37" s="19">
        <f>weekly_covid_deaths_council_area[[#This Row],[Highland]]+weekly_covid_deaths_council_area[[#This Row],[Argyll and Bute]]</f>
        <v>0</v>
      </c>
      <c r="M37" s="60">
        <f>weekly_covid_deaths_council_area[[#This Row],[North Lanarkshire]]+weekly_covid_deaths_council_area[[#This Row],[South Lanarkshire]]</f>
        <v>0</v>
      </c>
      <c r="N3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37" s="60">
        <f>weekly_covid_deaths_council_area[[#This Row],[Orkney Islands]]</f>
        <v>0</v>
      </c>
      <c r="P37" s="60">
        <f>weekly_covid_deaths_council_area[[#This Row],[Shetland Islands]]</f>
        <v>0</v>
      </c>
      <c r="Q37" s="60">
        <f>weekly_covid_deaths_council_area[[#This Row],[Angus]]+weekly_covid_deaths_council_area[[#This Row],[Dundee City]]+weekly_covid_deaths_council_area[[#This Row],[Perth and Kinross]]</f>
        <v>1</v>
      </c>
      <c r="R37" s="60">
        <f>weekly_covid_deaths_council_area[[#This Row],[Na h-Eileanan Siar]]</f>
        <v>0</v>
      </c>
    </row>
    <row r="38" spans="1:18" ht="16.149999999999999" customHeight="1" x14ac:dyDescent="0.35">
      <c r="A38" s="14" t="s">
        <v>85</v>
      </c>
      <c r="B38" s="15">
        <v>33</v>
      </c>
      <c r="C38" s="16">
        <v>44053</v>
      </c>
      <c r="D38" s="20">
        <f>SUM(weekly_covid_deaths_health_board[[#This Row],[Ayrshire and Arran]:[Western Isles]])</f>
        <v>3</v>
      </c>
      <c r="E38" s="19">
        <f>weekly_covid_deaths_council_area[[#This Row],[East Ayrshire]]+weekly_covid_deaths_council_area[[#This Row],[North Ayrshire]]+weekly_covid_deaths_council_area[[#This Row],[South Ayrshire]]</f>
        <v>0</v>
      </c>
      <c r="F38" s="19">
        <f>weekly_covid_deaths_council_area[[#This Row],[Scottish Borders ]]</f>
        <v>0</v>
      </c>
      <c r="G38" s="19">
        <f>weekly_covid_deaths_council_area[[#This Row],[Dumfries and Galloway]]</f>
        <v>0</v>
      </c>
      <c r="H38" s="19">
        <f>weekly_covid_deaths_council_area[[#This Row],[Fife]]</f>
        <v>0</v>
      </c>
      <c r="I38" s="19">
        <f>weekly_covid_deaths_council_area[[#This Row],[Clackmannanshire]]+weekly_covid_deaths_council_area[[#This Row],[Falkirk]]+weekly_covid_deaths_council_area[[#This Row],[Stirling]]</f>
        <v>0</v>
      </c>
      <c r="J38" s="19">
        <f>weekly_covid_deaths_council_area[[#This Row],[Aberdeen City]]+weekly_covid_deaths_council_area[[#This Row],[Aberdeenshire]]+weekly_covid_deaths_council_area[[#This Row],[Moray]]</f>
        <v>0</v>
      </c>
      <c r="K38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</v>
      </c>
      <c r="L38" s="19">
        <f>weekly_covid_deaths_council_area[[#This Row],[Highland]]+weekly_covid_deaths_council_area[[#This Row],[Argyll and Bute]]</f>
        <v>0</v>
      </c>
      <c r="M38" s="60">
        <f>weekly_covid_deaths_council_area[[#This Row],[North Lanarkshire]]+weekly_covid_deaths_council_area[[#This Row],[South Lanarkshire]]</f>
        <v>0</v>
      </c>
      <c r="N3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</v>
      </c>
      <c r="O38" s="60">
        <f>weekly_covid_deaths_council_area[[#This Row],[Orkney Islands]]</f>
        <v>0</v>
      </c>
      <c r="P38" s="60">
        <f>weekly_covid_deaths_council_area[[#This Row],[Shetland Islands]]</f>
        <v>0</v>
      </c>
      <c r="Q38" s="60">
        <f>weekly_covid_deaths_council_area[[#This Row],[Angus]]+weekly_covid_deaths_council_area[[#This Row],[Dundee City]]+weekly_covid_deaths_council_area[[#This Row],[Perth and Kinross]]</f>
        <v>0</v>
      </c>
      <c r="R38" s="60">
        <f>weekly_covid_deaths_council_area[[#This Row],[Na h-Eileanan Siar]]</f>
        <v>0</v>
      </c>
    </row>
    <row r="39" spans="1:18" ht="16.149999999999999" customHeight="1" x14ac:dyDescent="0.35">
      <c r="A39" s="14" t="s">
        <v>85</v>
      </c>
      <c r="B39" s="15">
        <v>34</v>
      </c>
      <c r="C39" s="16">
        <v>44060</v>
      </c>
      <c r="D39" s="20">
        <f>SUM(weekly_covid_deaths_health_board[[#This Row],[Ayrshire and Arran]:[Western Isles]])</f>
        <v>5</v>
      </c>
      <c r="E39" s="19">
        <f>weekly_covid_deaths_council_area[[#This Row],[East Ayrshire]]+weekly_covid_deaths_council_area[[#This Row],[North Ayrshire]]+weekly_covid_deaths_council_area[[#This Row],[South Ayrshire]]</f>
        <v>0</v>
      </c>
      <c r="F39" s="19">
        <f>weekly_covid_deaths_council_area[[#This Row],[Scottish Borders ]]</f>
        <v>0</v>
      </c>
      <c r="G39" s="19">
        <f>weekly_covid_deaths_council_area[[#This Row],[Dumfries and Galloway]]</f>
        <v>0</v>
      </c>
      <c r="H39" s="19">
        <f>weekly_covid_deaths_council_area[[#This Row],[Fife]]</f>
        <v>0</v>
      </c>
      <c r="I39" s="19">
        <f>weekly_covid_deaths_council_area[[#This Row],[Clackmannanshire]]+weekly_covid_deaths_council_area[[#This Row],[Falkirk]]+weekly_covid_deaths_council_area[[#This Row],[Stirling]]</f>
        <v>1</v>
      </c>
      <c r="J39" s="19">
        <f>weekly_covid_deaths_council_area[[#This Row],[Aberdeen City]]+weekly_covid_deaths_council_area[[#This Row],[Aberdeenshire]]+weekly_covid_deaths_council_area[[#This Row],[Moray]]</f>
        <v>1</v>
      </c>
      <c r="K39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</v>
      </c>
      <c r="L39" s="19">
        <f>weekly_covid_deaths_council_area[[#This Row],[Highland]]+weekly_covid_deaths_council_area[[#This Row],[Argyll and Bute]]</f>
        <v>0</v>
      </c>
      <c r="M39" s="60">
        <f>weekly_covid_deaths_council_area[[#This Row],[North Lanarkshire]]+weekly_covid_deaths_council_area[[#This Row],[South Lanarkshire]]</f>
        <v>1</v>
      </c>
      <c r="N39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</v>
      </c>
      <c r="O39" s="60">
        <f>weekly_covid_deaths_council_area[[#This Row],[Orkney Islands]]</f>
        <v>0</v>
      </c>
      <c r="P39" s="60">
        <f>weekly_covid_deaths_council_area[[#This Row],[Shetland Islands]]</f>
        <v>0</v>
      </c>
      <c r="Q39" s="60">
        <f>weekly_covid_deaths_council_area[[#This Row],[Angus]]+weekly_covid_deaths_council_area[[#This Row],[Dundee City]]+weekly_covid_deaths_council_area[[#This Row],[Perth and Kinross]]</f>
        <v>0</v>
      </c>
      <c r="R39" s="60">
        <f>weekly_covid_deaths_council_area[[#This Row],[Na h-Eileanan Siar]]</f>
        <v>0</v>
      </c>
    </row>
    <row r="40" spans="1:18" ht="16.149999999999999" customHeight="1" x14ac:dyDescent="0.35">
      <c r="A40" s="14" t="s">
        <v>85</v>
      </c>
      <c r="B40" s="15">
        <v>35</v>
      </c>
      <c r="C40" s="16">
        <v>44067</v>
      </c>
      <c r="D40" s="20">
        <f>SUM(weekly_covid_deaths_health_board[[#This Row],[Ayrshire and Arran]:[Western Isles]])</f>
        <v>7</v>
      </c>
      <c r="E40" s="19">
        <f>weekly_covid_deaths_council_area[[#This Row],[East Ayrshire]]+weekly_covid_deaths_council_area[[#This Row],[North Ayrshire]]+weekly_covid_deaths_council_area[[#This Row],[South Ayrshire]]</f>
        <v>0</v>
      </c>
      <c r="F40" s="19">
        <f>weekly_covid_deaths_council_area[[#This Row],[Scottish Borders ]]</f>
        <v>1</v>
      </c>
      <c r="G40" s="19">
        <f>weekly_covid_deaths_council_area[[#This Row],[Dumfries and Galloway]]</f>
        <v>1</v>
      </c>
      <c r="H40" s="19">
        <f>weekly_covid_deaths_council_area[[#This Row],[Fife]]</f>
        <v>0</v>
      </c>
      <c r="I40" s="19">
        <f>weekly_covid_deaths_council_area[[#This Row],[Clackmannanshire]]+weekly_covid_deaths_council_area[[#This Row],[Falkirk]]+weekly_covid_deaths_council_area[[#This Row],[Stirling]]</f>
        <v>0</v>
      </c>
      <c r="J40" s="19">
        <f>weekly_covid_deaths_council_area[[#This Row],[Aberdeen City]]+weekly_covid_deaths_council_area[[#This Row],[Aberdeenshire]]+weekly_covid_deaths_council_area[[#This Row],[Moray]]</f>
        <v>1</v>
      </c>
      <c r="K40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2</v>
      </c>
      <c r="L40" s="19">
        <f>weekly_covid_deaths_council_area[[#This Row],[Highland]]+weekly_covid_deaths_council_area[[#This Row],[Argyll and Bute]]</f>
        <v>0</v>
      </c>
      <c r="M40" s="60">
        <f>weekly_covid_deaths_council_area[[#This Row],[North Lanarkshire]]+weekly_covid_deaths_council_area[[#This Row],[South Lanarkshire]]</f>
        <v>1</v>
      </c>
      <c r="N40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</v>
      </c>
      <c r="O40" s="60">
        <f>weekly_covid_deaths_council_area[[#This Row],[Orkney Islands]]</f>
        <v>0</v>
      </c>
      <c r="P40" s="60">
        <f>weekly_covid_deaths_council_area[[#This Row],[Shetland Islands]]</f>
        <v>0</v>
      </c>
      <c r="Q40" s="60">
        <f>weekly_covid_deaths_council_area[[#This Row],[Angus]]+weekly_covid_deaths_council_area[[#This Row],[Dundee City]]+weekly_covid_deaths_council_area[[#This Row],[Perth and Kinross]]</f>
        <v>0</v>
      </c>
      <c r="R40" s="60">
        <f>weekly_covid_deaths_council_area[[#This Row],[Na h-Eileanan Siar]]</f>
        <v>0</v>
      </c>
    </row>
    <row r="41" spans="1:18" ht="16.149999999999999" customHeight="1" x14ac:dyDescent="0.35">
      <c r="A41" s="14" t="s">
        <v>85</v>
      </c>
      <c r="B41" s="15">
        <v>36</v>
      </c>
      <c r="C41" s="16">
        <v>44074</v>
      </c>
      <c r="D41" s="20">
        <f>SUM(weekly_covid_deaths_health_board[[#This Row],[Ayrshire and Arran]:[Western Isles]])</f>
        <v>2</v>
      </c>
      <c r="E41" s="19">
        <f>weekly_covid_deaths_council_area[[#This Row],[East Ayrshire]]+weekly_covid_deaths_council_area[[#This Row],[North Ayrshire]]+weekly_covid_deaths_council_area[[#This Row],[South Ayrshire]]</f>
        <v>0</v>
      </c>
      <c r="F41" s="19">
        <f>weekly_covid_deaths_council_area[[#This Row],[Scottish Borders ]]</f>
        <v>0</v>
      </c>
      <c r="G41" s="19">
        <f>weekly_covid_deaths_council_area[[#This Row],[Dumfries and Galloway]]</f>
        <v>0</v>
      </c>
      <c r="H41" s="19">
        <f>weekly_covid_deaths_council_area[[#This Row],[Fife]]</f>
        <v>0</v>
      </c>
      <c r="I41" s="19">
        <f>weekly_covid_deaths_council_area[[#This Row],[Clackmannanshire]]+weekly_covid_deaths_council_area[[#This Row],[Falkirk]]+weekly_covid_deaths_council_area[[#This Row],[Stirling]]</f>
        <v>0</v>
      </c>
      <c r="J41" s="19">
        <f>weekly_covid_deaths_council_area[[#This Row],[Aberdeen City]]+weekly_covid_deaths_council_area[[#This Row],[Aberdeenshire]]+weekly_covid_deaths_council_area[[#This Row],[Moray]]</f>
        <v>0</v>
      </c>
      <c r="K41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</v>
      </c>
      <c r="L41" s="19">
        <f>weekly_covid_deaths_council_area[[#This Row],[Highland]]+weekly_covid_deaths_council_area[[#This Row],[Argyll and Bute]]</f>
        <v>0</v>
      </c>
      <c r="M41" s="60">
        <f>weekly_covid_deaths_council_area[[#This Row],[North Lanarkshire]]+weekly_covid_deaths_council_area[[#This Row],[South Lanarkshire]]</f>
        <v>0</v>
      </c>
      <c r="N41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41" s="60">
        <f>weekly_covid_deaths_council_area[[#This Row],[Orkney Islands]]</f>
        <v>0</v>
      </c>
      <c r="P41" s="60">
        <f>weekly_covid_deaths_council_area[[#This Row],[Shetland Islands]]</f>
        <v>0</v>
      </c>
      <c r="Q41" s="60">
        <f>weekly_covid_deaths_council_area[[#This Row],[Angus]]+weekly_covid_deaths_council_area[[#This Row],[Dundee City]]+weekly_covid_deaths_council_area[[#This Row],[Perth and Kinross]]</f>
        <v>1</v>
      </c>
      <c r="R41" s="60">
        <f>weekly_covid_deaths_council_area[[#This Row],[Na h-Eileanan Siar]]</f>
        <v>0</v>
      </c>
    </row>
    <row r="42" spans="1:18" ht="16.149999999999999" customHeight="1" x14ac:dyDescent="0.35">
      <c r="A42" s="14" t="s">
        <v>85</v>
      </c>
      <c r="B42" s="15">
        <v>37</v>
      </c>
      <c r="C42" s="16">
        <v>44081</v>
      </c>
      <c r="D42" s="20">
        <f>SUM(weekly_covid_deaths_health_board[[#This Row],[Ayrshire and Arran]:[Western Isles]])</f>
        <v>5</v>
      </c>
      <c r="E42" s="19">
        <f>weekly_covid_deaths_council_area[[#This Row],[East Ayrshire]]+weekly_covid_deaths_council_area[[#This Row],[North Ayrshire]]+weekly_covid_deaths_council_area[[#This Row],[South Ayrshire]]</f>
        <v>0</v>
      </c>
      <c r="F42" s="19">
        <f>weekly_covid_deaths_council_area[[#This Row],[Scottish Borders ]]</f>
        <v>0</v>
      </c>
      <c r="G42" s="19">
        <f>weekly_covid_deaths_council_area[[#This Row],[Dumfries and Galloway]]</f>
        <v>0</v>
      </c>
      <c r="H42" s="19">
        <f>weekly_covid_deaths_council_area[[#This Row],[Fife]]</f>
        <v>1</v>
      </c>
      <c r="I42" s="19">
        <f>weekly_covid_deaths_council_area[[#This Row],[Clackmannanshire]]+weekly_covid_deaths_council_area[[#This Row],[Falkirk]]+weekly_covid_deaths_council_area[[#This Row],[Stirling]]</f>
        <v>0</v>
      </c>
      <c r="J42" s="19">
        <f>weekly_covid_deaths_council_area[[#This Row],[Aberdeen City]]+weekly_covid_deaths_council_area[[#This Row],[Aberdeenshire]]+weekly_covid_deaths_council_area[[#This Row],[Moray]]</f>
        <v>1</v>
      </c>
      <c r="K42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42" s="19">
        <f>weekly_covid_deaths_council_area[[#This Row],[Highland]]+weekly_covid_deaths_council_area[[#This Row],[Argyll and Bute]]</f>
        <v>0</v>
      </c>
      <c r="M42" s="60">
        <f>weekly_covid_deaths_council_area[[#This Row],[North Lanarkshire]]+weekly_covid_deaths_council_area[[#This Row],[South Lanarkshire]]</f>
        <v>0</v>
      </c>
      <c r="N42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42" s="60">
        <f>weekly_covid_deaths_council_area[[#This Row],[Orkney Islands]]</f>
        <v>0</v>
      </c>
      <c r="P42" s="60">
        <f>weekly_covid_deaths_council_area[[#This Row],[Shetland Islands]]</f>
        <v>0</v>
      </c>
      <c r="Q42" s="60">
        <f>weekly_covid_deaths_council_area[[#This Row],[Angus]]+weekly_covid_deaths_council_area[[#This Row],[Dundee City]]+weekly_covid_deaths_council_area[[#This Row],[Perth and Kinross]]</f>
        <v>0</v>
      </c>
      <c r="R42" s="60">
        <f>weekly_covid_deaths_council_area[[#This Row],[Na h-Eileanan Siar]]</f>
        <v>0</v>
      </c>
    </row>
    <row r="43" spans="1:18" ht="16.149999999999999" customHeight="1" x14ac:dyDescent="0.35">
      <c r="A43" s="14" t="s">
        <v>85</v>
      </c>
      <c r="B43" s="15">
        <v>38</v>
      </c>
      <c r="C43" s="16">
        <v>44088</v>
      </c>
      <c r="D43" s="21">
        <f>SUM(weekly_covid_deaths_health_board[[#This Row],[Ayrshire and Arran]:[Western Isles]])</f>
        <v>11</v>
      </c>
      <c r="E43" s="19">
        <f>weekly_covid_deaths_council_area[[#This Row],[East Ayrshire]]+weekly_covid_deaths_council_area[[#This Row],[North Ayrshire]]+weekly_covid_deaths_council_area[[#This Row],[South Ayrshire]]</f>
        <v>1</v>
      </c>
      <c r="F43" s="19">
        <f>weekly_covid_deaths_council_area[[#This Row],[Scottish Borders ]]</f>
        <v>0</v>
      </c>
      <c r="G43" s="19">
        <f>weekly_covid_deaths_council_area[[#This Row],[Dumfries and Galloway]]</f>
        <v>0</v>
      </c>
      <c r="H43" s="19">
        <f>weekly_covid_deaths_council_area[[#This Row],[Fife]]</f>
        <v>1</v>
      </c>
      <c r="I43" s="19">
        <f>weekly_covid_deaths_council_area[[#This Row],[Clackmannanshire]]+weekly_covid_deaths_council_area[[#This Row],[Falkirk]]+weekly_covid_deaths_council_area[[#This Row],[Stirling]]</f>
        <v>0</v>
      </c>
      <c r="J43" s="19">
        <f>weekly_covid_deaths_council_area[[#This Row],[Aberdeen City]]+weekly_covid_deaths_council_area[[#This Row],[Aberdeenshire]]+weekly_covid_deaths_council_area[[#This Row],[Moray]]</f>
        <v>1</v>
      </c>
      <c r="K43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43" s="19">
        <f>weekly_covid_deaths_council_area[[#This Row],[Highland]]+weekly_covid_deaths_council_area[[#This Row],[Argyll and Bute]]</f>
        <v>1</v>
      </c>
      <c r="M43" s="60">
        <f>weekly_covid_deaths_council_area[[#This Row],[North Lanarkshire]]+weekly_covid_deaths_council_area[[#This Row],[South Lanarkshire]]</f>
        <v>4</v>
      </c>
      <c r="N43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43" s="60">
        <f>weekly_covid_deaths_council_area[[#This Row],[Orkney Islands]]</f>
        <v>0</v>
      </c>
      <c r="P43" s="60">
        <f>weekly_covid_deaths_council_area[[#This Row],[Shetland Islands]]</f>
        <v>0</v>
      </c>
      <c r="Q43" s="60">
        <f>weekly_covid_deaths_council_area[[#This Row],[Angus]]+weekly_covid_deaths_council_area[[#This Row],[Dundee City]]+weekly_covid_deaths_council_area[[#This Row],[Perth and Kinross]]</f>
        <v>0</v>
      </c>
      <c r="R43" s="60">
        <f>weekly_covid_deaths_council_area[[#This Row],[Na h-Eileanan Siar]]</f>
        <v>0</v>
      </c>
    </row>
    <row r="44" spans="1:18" ht="16.149999999999999" customHeight="1" x14ac:dyDescent="0.35">
      <c r="A44" s="14" t="s">
        <v>85</v>
      </c>
      <c r="B44" s="15">
        <v>39</v>
      </c>
      <c r="C44" s="16">
        <v>44095</v>
      </c>
      <c r="D44" s="20">
        <f>SUM(weekly_covid_deaths_health_board[[#This Row],[Ayrshire and Arran]:[Western Isles]])</f>
        <v>10</v>
      </c>
      <c r="E44" s="19">
        <f>weekly_covid_deaths_council_area[[#This Row],[East Ayrshire]]+weekly_covid_deaths_council_area[[#This Row],[North Ayrshire]]+weekly_covid_deaths_council_area[[#This Row],[South Ayrshire]]</f>
        <v>0</v>
      </c>
      <c r="F44" s="19">
        <f>weekly_covid_deaths_council_area[[#This Row],[Scottish Borders ]]</f>
        <v>0</v>
      </c>
      <c r="G44" s="19">
        <f>weekly_covid_deaths_council_area[[#This Row],[Dumfries and Galloway]]</f>
        <v>0</v>
      </c>
      <c r="H44" s="19">
        <f>weekly_covid_deaths_council_area[[#This Row],[Fife]]</f>
        <v>1</v>
      </c>
      <c r="I44" s="19">
        <f>weekly_covid_deaths_council_area[[#This Row],[Clackmannanshire]]+weekly_covid_deaths_council_area[[#This Row],[Falkirk]]+weekly_covid_deaths_council_area[[#This Row],[Stirling]]</f>
        <v>1</v>
      </c>
      <c r="J44" s="19">
        <f>weekly_covid_deaths_council_area[[#This Row],[Aberdeen City]]+weekly_covid_deaths_council_area[[#This Row],[Aberdeenshire]]+weekly_covid_deaths_council_area[[#This Row],[Moray]]</f>
        <v>0</v>
      </c>
      <c r="K44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</v>
      </c>
      <c r="L44" s="19">
        <f>weekly_covid_deaths_council_area[[#This Row],[Highland]]+weekly_covid_deaths_council_area[[#This Row],[Argyll and Bute]]</f>
        <v>1</v>
      </c>
      <c r="M44" s="60">
        <f>weekly_covid_deaths_council_area[[#This Row],[North Lanarkshire]]+weekly_covid_deaths_council_area[[#This Row],[South Lanarkshire]]</f>
        <v>3</v>
      </c>
      <c r="N44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0</v>
      </c>
      <c r="O44" s="60">
        <f>weekly_covid_deaths_council_area[[#This Row],[Orkney Islands]]</f>
        <v>0</v>
      </c>
      <c r="P44" s="60">
        <f>weekly_covid_deaths_council_area[[#This Row],[Shetland Islands]]</f>
        <v>0</v>
      </c>
      <c r="Q44" s="60">
        <f>weekly_covid_deaths_council_area[[#This Row],[Angus]]+weekly_covid_deaths_council_area[[#This Row],[Dundee City]]+weekly_covid_deaths_council_area[[#This Row],[Perth and Kinross]]</f>
        <v>1</v>
      </c>
      <c r="R44" s="60">
        <f>weekly_covid_deaths_council_area[[#This Row],[Na h-Eileanan Siar]]</f>
        <v>0</v>
      </c>
    </row>
    <row r="45" spans="1:18" ht="16.149999999999999" customHeight="1" x14ac:dyDescent="0.35">
      <c r="A45" s="14" t="s">
        <v>85</v>
      </c>
      <c r="B45" s="15">
        <v>40</v>
      </c>
      <c r="C45" s="16">
        <v>44102</v>
      </c>
      <c r="D45" s="20">
        <f>SUM(weekly_covid_deaths_health_board[[#This Row],[Ayrshire and Arran]:[Western Isles]])</f>
        <v>20</v>
      </c>
      <c r="E45" s="19">
        <f>weekly_covid_deaths_council_area[[#This Row],[East Ayrshire]]+weekly_covid_deaths_council_area[[#This Row],[North Ayrshire]]+weekly_covid_deaths_council_area[[#This Row],[South Ayrshire]]</f>
        <v>1</v>
      </c>
      <c r="F45" s="19">
        <f>weekly_covid_deaths_council_area[[#This Row],[Scottish Borders ]]</f>
        <v>2</v>
      </c>
      <c r="G45" s="19">
        <f>weekly_covid_deaths_council_area[[#This Row],[Dumfries and Galloway]]</f>
        <v>1</v>
      </c>
      <c r="H45" s="19">
        <f>weekly_covid_deaths_council_area[[#This Row],[Fife]]</f>
        <v>0</v>
      </c>
      <c r="I45" s="19">
        <f>weekly_covid_deaths_council_area[[#This Row],[Clackmannanshire]]+weekly_covid_deaths_council_area[[#This Row],[Falkirk]]+weekly_covid_deaths_council_area[[#This Row],[Stirling]]</f>
        <v>1</v>
      </c>
      <c r="J45" s="19">
        <f>weekly_covid_deaths_council_area[[#This Row],[Aberdeen City]]+weekly_covid_deaths_council_area[[#This Row],[Aberdeenshire]]+weekly_covid_deaths_council_area[[#This Row],[Moray]]</f>
        <v>0</v>
      </c>
      <c r="K45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6</v>
      </c>
      <c r="L45" s="19">
        <f>weekly_covid_deaths_council_area[[#This Row],[Highland]]+weekly_covid_deaths_council_area[[#This Row],[Argyll and Bute]]</f>
        <v>1</v>
      </c>
      <c r="M45" s="60">
        <f>weekly_covid_deaths_council_area[[#This Row],[North Lanarkshire]]+weekly_covid_deaths_council_area[[#This Row],[South Lanarkshire]]</f>
        <v>5</v>
      </c>
      <c r="N45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</v>
      </c>
      <c r="O45" s="60">
        <f>weekly_covid_deaths_council_area[[#This Row],[Orkney Islands]]</f>
        <v>0</v>
      </c>
      <c r="P45" s="60">
        <f>weekly_covid_deaths_council_area[[#This Row],[Shetland Islands]]</f>
        <v>0</v>
      </c>
      <c r="Q45" s="60">
        <f>weekly_covid_deaths_council_area[[#This Row],[Angus]]+weekly_covid_deaths_council_area[[#This Row],[Dundee City]]+weekly_covid_deaths_council_area[[#This Row],[Perth and Kinross]]</f>
        <v>0</v>
      </c>
      <c r="R45" s="60">
        <f>weekly_covid_deaths_council_area[[#This Row],[Na h-Eileanan Siar]]</f>
        <v>0</v>
      </c>
    </row>
    <row r="46" spans="1:18" ht="16.149999999999999" customHeight="1" x14ac:dyDescent="0.35">
      <c r="A46" s="14" t="s">
        <v>85</v>
      </c>
      <c r="B46" s="15">
        <v>41</v>
      </c>
      <c r="C46" s="16">
        <v>44109</v>
      </c>
      <c r="D46" s="20">
        <f>SUM(weekly_covid_deaths_health_board[[#This Row],[Ayrshire and Arran]:[Western Isles]])</f>
        <v>25</v>
      </c>
      <c r="E46" s="19">
        <f>weekly_covid_deaths_council_area[[#This Row],[East Ayrshire]]+weekly_covid_deaths_council_area[[#This Row],[North Ayrshire]]+weekly_covid_deaths_council_area[[#This Row],[South Ayrshire]]</f>
        <v>1</v>
      </c>
      <c r="F46" s="19">
        <f>weekly_covid_deaths_council_area[[#This Row],[Scottish Borders ]]</f>
        <v>0</v>
      </c>
      <c r="G46" s="19">
        <f>weekly_covid_deaths_council_area[[#This Row],[Dumfries and Galloway]]</f>
        <v>0</v>
      </c>
      <c r="H46" s="19">
        <f>weekly_covid_deaths_council_area[[#This Row],[Fife]]</f>
        <v>0</v>
      </c>
      <c r="I46" s="19">
        <f>weekly_covid_deaths_council_area[[#This Row],[Clackmannanshire]]+weekly_covid_deaths_council_area[[#This Row],[Falkirk]]+weekly_covid_deaths_council_area[[#This Row],[Stirling]]</f>
        <v>0</v>
      </c>
      <c r="J46" s="19">
        <f>weekly_covid_deaths_council_area[[#This Row],[Aberdeen City]]+weekly_covid_deaths_council_area[[#This Row],[Aberdeenshire]]+weekly_covid_deaths_council_area[[#This Row],[Moray]]</f>
        <v>0</v>
      </c>
      <c r="K46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7</v>
      </c>
      <c r="L46" s="19">
        <f>weekly_covid_deaths_council_area[[#This Row],[Highland]]+weekly_covid_deaths_council_area[[#This Row],[Argyll and Bute]]</f>
        <v>0</v>
      </c>
      <c r="M46" s="60">
        <f>weekly_covid_deaths_council_area[[#This Row],[North Lanarkshire]]+weekly_covid_deaths_council_area[[#This Row],[South Lanarkshire]]</f>
        <v>9</v>
      </c>
      <c r="N46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8</v>
      </c>
      <c r="O46" s="60">
        <f>weekly_covid_deaths_council_area[[#This Row],[Orkney Islands]]</f>
        <v>0</v>
      </c>
      <c r="P46" s="60">
        <f>weekly_covid_deaths_council_area[[#This Row],[Shetland Islands]]</f>
        <v>0</v>
      </c>
      <c r="Q46" s="60">
        <f>weekly_covid_deaths_council_area[[#This Row],[Angus]]+weekly_covid_deaths_council_area[[#This Row],[Dundee City]]+weekly_covid_deaths_council_area[[#This Row],[Perth and Kinross]]</f>
        <v>0</v>
      </c>
      <c r="R46" s="60">
        <f>weekly_covid_deaths_council_area[[#This Row],[Na h-Eileanan Siar]]</f>
        <v>0</v>
      </c>
    </row>
    <row r="47" spans="1:18" ht="16.149999999999999" customHeight="1" x14ac:dyDescent="0.35">
      <c r="A47" s="14" t="s">
        <v>85</v>
      </c>
      <c r="B47" s="15">
        <v>42</v>
      </c>
      <c r="C47" s="16">
        <v>44116</v>
      </c>
      <c r="D47" s="20">
        <f>SUM(weekly_covid_deaths_health_board[[#This Row],[Ayrshire and Arran]:[Western Isles]])</f>
        <v>76</v>
      </c>
      <c r="E47" s="19">
        <f>weekly_covid_deaths_council_area[[#This Row],[East Ayrshire]]+weekly_covid_deaths_council_area[[#This Row],[North Ayrshire]]+weekly_covid_deaths_council_area[[#This Row],[South Ayrshire]]</f>
        <v>10</v>
      </c>
      <c r="F47" s="19">
        <f>weekly_covid_deaths_council_area[[#This Row],[Scottish Borders ]]</f>
        <v>0</v>
      </c>
      <c r="G47" s="19">
        <f>weekly_covid_deaths_council_area[[#This Row],[Dumfries and Galloway]]</f>
        <v>1</v>
      </c>
      <c r="H47" s="19">
        <f>weekly_covid_deaths_council_area[[#This Row],[Fife]]</f>
        <v>2</v>
      </c>
      <c r="I47" s="19">
        <f>weekly_covid_deaths_council_area[[#This Row],[Clackmannanshire]]+weekly_covid_deaths_council_area[[#This Row],[Falkirk]]+weekly_covid_deaths_council_area[[#This Row],[Stirling]]</f>
        <v>2</v>
      </c>
      <c r="J47" s="19">
        <f>weekly_covid_deaths_council_area[[#This Row],[Aberdeen City]]+weekly_covid_deaths_council_area[[#This Row],[Aberdeenshire]]+weekly_covid_deaths_council_area[[#This Row],[Moray]]</f>
        <v>1</v>
      </c>
      <c r="K47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31</v>
      </c>
      <c r="L47" s="19">
        <f>weekly_covid_deaths_council_area[[#This Row],[Highland]]+weekly_covid_deaths_council_area[[#This Row],[Argyll and Bute]]</f>
        <v>1</v>
      </c>
      <c r="M47" s="60">
        <f>weekly_covid_deaths_council_area[[#This Row],[North Lanarkshire]]+weekly_covid_deaths_council_area[[#This Row],[South Lanarkshire]]</f>
        <v>8</v>
      </c>
      <c r="N4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17</v>
      </c>
      <c r="O47" s="60">
        <f>weekly_covid_deaths_council_area[[#This Row],[Orkney Islands]]</f>
        <v>0</v>
      </c>
      <c r="P47" s="60">
        <f>weekly_covid_deaths_council_area[[#This Row],[Shetland Islands]]</f>
        <v>0</v>
      </c>
      <c r="Q47" s="60">
        <f>weekly_covid_deaths_council_area[[#This Row],[Angus]]+weekly_covid_deaths_council_area[[#This Row],[Dundee City]]+weekly_covid_deaths_council_area[[#This Row],[Perth and Kinross]]</f>
        <v>2</v>
      </c>
      <c r="R47" s="60">
        <f>weekly_covid_deaths_council_area[[#This Row],[Na h-Eileanan Siar]]</f>
        <v>1</v>
      </c>
    </row>
    <row r="48" spans="1:18" ht="16.149999999999999" customHeight="1" x14ac:dyDescent="0.35">
      <c r="A48" s="14" t="s">
        <v>85</v>
      </c>
      <c r="B48" s="15">
        <v>43</v>
      </c>
      <c r="C48" s="16">
        <v>44123</v>
      </c>
      <c r="D48" s="20">
        <f>SUM(weekly_covid_deaths_health_board[[#This Row],[Ayrshire and Arran]:[Western Isles]])</f>
        <v>107</v>
      </c>
      <c r="E48" s="19">
        <f>weekly_covid_deaths_council_area[[#This Row],[East Ayrshire]]+weekly_covid_deaths_council_area[[#This Row],[North Ayrshire]]+weekly_covid_deaths_council_area[[#This Row],[South Ayrshire]]</f>
        <v>9</v>
      </c>
      <c r="F48" s="19">
        <f>weekly_covid_deaths_council_area[[#This Row],[Scottish Borders ]]</f>
        <v>1</v>
      </c>
      <c r="G48" s="19">
        <f>weekly_covid_deaths_council_area[[#This Row],[Dumfries and Galloway]]</f>
        <v>4</v>
      </c>
      <c r="H48" s="19">
        <f>weekly_covid_deaths_council_area[[#This Row],[Fife]]</f>
        <v>1</v>
      </c>
      <c r="I48" s="19">
        <f>weekly_covid_deaths_council_area[[#This Row],[Clackmannanshire]]+weekly_covid_deaths_council_area[[#This Row],[Falkirk]]+weekly_covid_deaths_council_area[[#This Row],[Stirling]]</f>
        <v>2</v>
      </c>
      <c r="J48" s="19">
        <f>weekly_covid_deaths_council_area[[#This Row],[Aberdeen City]]+weekly_covid_deaths_council_area[[#This Row],[Aberdeenshire]]+weekly_covid_deaths_council_area[[#This Row],[Moray]]</f>
        <v>5</v>
      </c>
      <c r="K48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45</v>
      </c>
      <c r="L48" s="19">
        <f>weekly_covid_deaths_council_area[[#This Row],[Highland]]+weekly_covid_deaths_council_area[[#This Row],[Argyll and Bute]]</f>
        <v>3</v>
      </c>
      <c r="M48" s="60">
        <f>weekly_covid_deaths_council_area[[#This Row],[North Lanarkshire]]+weekly_covid_deaths_council_area[[#This Row],[South Lanarkshire]]</f>
        <v>20</v>
      </c>
      <c r="N4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14</v>
      </c>
      <c r="O48" s="60">
        <f>weekly_covid_deaths_council_area[[#This Row],[Orkney Islands]]</f>
        <v>0</v>
      </c>
      <c r="P48" s="60">
        <f>weekly_covid_deaths_council_area[[#This Row],[Shetland Islands]]</f>
        <v>0</v>
      </c>
      <c r="Q48" s="60">
        <f>weekly_covid_deaths_council_area[[#This Row],[Angus]]+weekly_covid_deaths_council_area[[#This Row],[Dundee City]]+weekly_covid_deaths_council_area[[#This Row],[Perth and Kinross]]</f>
        <v>3</v>
      </c>
      <c r="R48" s="60">
        <f>weekly_covid_deaths_council_area[[#This Row],[Na h-Eileanan Siar]]</f>
        <v>0</v>
      </c>
    </row>
    <row r="49" spans="1:18" ht="16.149999999999999" customHeight="1" x14ac:dyDescent="0.35">
      <c r="A49" s="14" t="s">
        <v>85</v>
      </c>
      <c r="B49" s="15">
        <v>44</v>
      </c>
      <c r="C49" s="16">
        <v>44130</v>
      </c>
      <c r="D49" s="21">
        <f>SUM(weekly_covid_deaths_health_board[[#This Row],[Ayrshire and Arran]:[Western Isles]])</f>
        <v>168</v>
      </c>
      <c r="E49" s="25">
        <f>weekly_covid_deaths_council_area[[#This Row],[East Ayrshire]]+weekly_covid_deaths_council_area[[#This Row],[North Ayrshire]]+weekly_covid_deaths_council_area[[#This Row],[South Ayrshire]]</f>
        <v>18</v>
      </c>
      <c r="F49" s="25">
        <f>weekly_covid_deaths_council_area[[#This Row],[Scottish Borders ]]</f>
        <v>2</v>
      </c>
      <c r="G49" s="25">
        <f>weekly_covid_deaths_council_area[[#This Row],[Dumfries and Galloway]]</f>
        <v>10</v>
      </c>
      <c r="H49" s="25">
        <f>weekly_covid_deaths_council_area[[#This Row],[Fife]]</f>
        <v>4</v>
      </c>
      <c r="I49" s="25">
        <f>weekly_covid_deaths_council_area[[#This Row],[Clackmannanshire]]+weekly_covid_deaths_council_area[[#This Row],[Falkirk]]+weekly_covid_deaths_council_area[[#This Row],[Stirling]]</f>
        <v>2</v>
      </c>
      <c r="J49" s="25">
        <f>weekly_covid_deaths_council_area[[#This Row],[Aberdeen City]]+weekly_covid_deaths_council_area[[#This Row],[Aberdeenshire]]+weekly_covid_deaths_council_area[[#This Row],[Moray]]</f>
        <v>5</v>
      </c>
      <c r="K49" s="25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51</v>
      </c>
      <c r="L49" s="25">
        <f>weekly_covid_deaths_council_area[[#This Row],[Highland]]+weekly_covid_deaths_council_area[[#This Row],[Argyll and Bute]]</f>
        <v>0</v>
      </c>
      <c r="M49" s="60">
        <f>weekly_covid_deaths_council_area[[#This Row],[North Lanarkshire]]+weekly_covid_deaths_council_area[[#This Row],[South Lanarkshire]]</f>
        <v>52</v>
      </c>
      <c r="N49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16</v>
      </c>
      <c r="O49" s="60">
        <f>weekly_covid_deaths_council_area[[#This Row],[Orkney Islands]]</f>
        <v>0</v>
      </c>
      <c r="P49" s="60">
        <f>weekly_covid_deaths_council_area[[#This Row],[Shetland Islands]]</f>
        <v>0</v>
      </c>
      <c r="Q49" s="60">
        <f>weekly_covid_deaths_council_area[[#This Row],[Angus]]+weekly_covid_deaths_council_area[[#This Row],[Dundee City]]+weekly_covid_deaths_council_area[[#This Row],[Perth and Kinross]]</f>
        <v>8</v>
      </c>
      <c r="R49" s="60">
        <f>weekly_covid_deaths_council_area[[#This Row],[Na h-Eileanan Siar]]</f>
        <v>0</v>
      </c>
    </row>
    <row r="50" spans="1:18" ht="16.149999999999999" customHeight="1" x14ac:dyDescent="0.35">
      <c r="A50" s="14" t="s">
        <v>85</v>
      </c>
      <c r="B50" s="15">
        <v>45</v>
      </c>
      <c r="C50" s="16">
        <v>44137</v>
      </c>
      <c r="D50" s="20">
        <f>SUM(weekly_covid_deaths_health_board[[#This Row],[Ayrshire and Arran]:[Western Isles]])</f>
        <v>209</v>
      </c>
      <c r="E50" s="19">
        <f>weekly_covid_deaths_council_area[[#This Row],[East Ayrshire]]+weekly_covid_deaths_council_area[[#This Row],[North Ayrshire]]+weekly_covid_deaths_council_area[[#This Row],[South Ayrshire]]</f>
        <v>22</v>
      </c>
      <c r="F50" s="19">
        <f>weekly_covid_deaths_council_area[[#This Row],[Scottish Borders ]]</f>
        <v>1</v>
      </c>
      <c r="G50" s="19">
        <f>weekly_covid_deaths_council_area[[#This Row],[Dumfries and Galloway]]</f>
        <v>2</v>
      </c>
      <c r="H50" s="19">
        <f>weekly_covid_deaths_council_area[[#This Row],[Fife]]</f>
        <v>1</v>
      </c>
      <c r="I50" s="19">
        <f>weekly_covid_deaths_council_area[[#This Row],[Clackmannanshire]]+weekly_covid_deaths_council_area[[#This Row],[Falkirk]]+weekly_covid_deaths_council_area[[#This Row],[Stirling]]</f>
        <v>15</v>
      </c>
      <c r="J50" s="19">
        <f>weekly_covid_deaths_council_area[[#This Row],[Aberdeen City]]+weekly_covid_deaths_council_area[[#This Row],[Aberdeenshire]]+weekly_covid_deaths_council_area[[#This Row],[Moray]]</f>
        <v>3</v>
      </c>
      <c r="K50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86</v>
      </c>
      <c r="L50" s="19">
        <f>weekly_covid_deaths_council_area[[#This Row],[Highland]]+weekly_covid_deaths_council_area[[#This Row],[Argyll and Bute]]</f>
        <v>5</v>
      </c>
      <c r="M50" s="60">
        <f>weekly_covid_deaths_council_area[[#This Row],[North Lanarkshire]]+weekly_covid_deaths_council_area[[#This Row],[South Lanarkshire]]</f>
        <v>43</v>
      </c>
      <c r="N50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19</v>
      </c>
      <c r="O50" s="60">
        <f>weekly_covid_deaths_council_area[[#This Row],[Orkney Islands]]</f>
        <v>0</v>
      </c>
      <c r="P50" s="60">
        <f>weekly_covid_deaths_council_area[[#This Row],[Shetland Islands]]</f>
        <v>0</v>
      </c>
      <c r="Q50" s="60">
        <f>weekly_covid_deaths_council_area[[#This Row],[Angus]]+weekly_covid_deaths_council_area[[#This Row],[Dundee City]]+weekly_covid_deaths_council_area[[#This Row],[Perth and Kinross]]</f>
        <v>12</v>
      </c>
      <c r="R50" s="60">
        <f>weekly_covid_deaths_council_area[[#This Row],[Na h-Eileanan Siar]]</f>
        <v>0</v>
      </c>
    </row>
    <row r="51" spans="1:18" ht="16.149999999999999" customHeight="1" x14ac:dyDescent="0.35">
      <c r="A51" s="14" t="s">
        <v>85</v>
      </c>
      <c r="B51" s="15">
        <v>46</v>
      </c>
      <c r="C51" s="16">
        <v>44144</v>
      </c>
      <c r="D51" s="3">
        <f>SUM(weekly_covid_deaths_health_board[[#This Row],[Ayrshire and Arran]:[Western Isles]])</f>
        <v>280</v>
      </c>
      <c r="E51" s="19">
        <f>weekly_covid_deaths_council_area[[#This Row],[East Ayrshire]]+weekly_covid_deaths_council_area[[#This Row],[North Ayrshire]]+weekly_covid_deaths_council_area[[#This Row],[South Ayrshire]]</f>
        <v>29</v>
      </c>
      <c r="F51" s="19">
        <f>weekly_covid_deaths_council_area[[#This Row],[Scottish Borders ]]</f>
        <v>2</v>
      </c>
      <c r="G51" s="19">
        <f>weekly_covid_deaths_council_area[[#This Row],[Dumfries and Galloway]]</f>
        <v>3</v>
      </c>
      <c r="H51" s="19">
        <f>weekly_covid_deaths_council_area[[#This Row],[Fife]]</f>
        <v>10</v>
      </c>
      <c r="I51" s="19">
        <f>weekly_covid_deaths_council_area[[#This Row],[Clackmannanshire]]+weekly_covid_deaths_council_area[[#This Row],[Falkirk]]+weekly_covid_deaths_council_area[[#This Row],[Stirling]]</f>
        <v>16</v>
      </c>
      <c r="J51" s="19">
        <f>weekly_covid_deaths_council_area[[#This Row],[Aberdeen City]]+weekly_covid_deaths_council_area[[#This Row],[Aberdeenshire]]+weekly_covid_deaths_council_area[[#This Row],[Moray]]</f>
        <v>4</v>
      </c>
      <c r="K51" s="19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106</v>
      </c>
      <c r="L51" s="19">
        <f>weekly_covid_deaths_council_area[[#This Row],[Highland]]+weekly_covid_deaths_council_area[[#This Row],[Argyll and Bute]]</f>
        <v>0</v>
      </c>
      <c r="M51" s="60">
        <f>weekly_covid_deaths_council_area[[#This Row],[North Lanarkshire]]+weekly_covid_deaths_council_area[[#This Row],[South Lanarkshire]]</f>
        <v>64</v>
      </c>
      <c r="N51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31</v>
      </c>
      <c r="O51" s="60">
        <f>weekly_covid_deaths_council_area[[#This Row],[Orkney Islands]]</f>
        <v>1</v>
      </c>
      <c r="P51" s="60">
        <f>weekly_covid_deaths_council_area[[#This Row],[Shetland Islands]]</f>
        <v>1</v>
      </c>
      <c r="Q51" s="60">
        <f>weekly_covid_deaths_council_area[[#This Row],[Angus]]+weekly_covid_deaths_council_area[[#This Row],[Dundee City]]+weekly_covid_deaths_council_area[[#This Row],[Perth and Kinross]]</f>
        <v>13</v>
      </c>
      <c r="R51" s="60">
        <f>weekly_covid_deaths_council_area[[#This Row],[Na h-Eileanan Siar]]</f>
        <v>0</v>
      </c>
    </row>
    <row r="52" spans="1:18" ht="16.149999999999999" customHeight="1" x14ac:dyDescent="0.35">
      <c r="A52" s="14" t="s">
        <v>85</v>
      </c>
      <c r="B52" s="15">
        <v>47</v>
      </c>
      <c r="C52" s="16">
        <v>44151</v>
      </c>
      <c r="D52" s="21">
        <f>SUM(weekly_covid_deaths_health_board[[#This Row],[Ayrshire and Arran]:[Western Isles]])</f>
        <v>249</v>
      </c>
      <c r="E52" s="25">
        <f>weekly_covid_deaths_council_area[[#This Row],[East Ayrshire]]+weekly_covid_deaths_council_area[[#This Row],[North Ayrshire]]+weekly_covid_deaths_council_area[[#This Row],[South Ayrshire]]</f>
        <v>38</v>
      </c>
      <c r="F52" s="25">
        <f>weekly_covid_deaths_council_area[[#This Row],[Scottish Borders ]]</f>
        <v>1</v>
      </c>
      <c r="G52" s="25">
        <f>weekly_covid_deaths_council_area[[#This Row],[Dumfries and Galloway]]</f>
        <v>4</v>
      </c>
      <c r="H52" s="25">
        <f>weekly_covid_deaths_council_area[[#This Row],[Fife]]</f>
        <v>8</v>
      </c>
      <c r="I52" s="25">
        <f>weekly_covid_deaths_council_area[[#This Row],[Clackmannanshire]]+weekly_covid_deaths_council_area[[#This Row],[Falkirk]]+weekly_covid_deaths_council_area[[#This Row],[Stirling]]</f>
        <v>15</v>
      </c>
      <c r="J52" s="25">
        <f>weekly_covid_deaths_council_area[[#This Row],[Aberdeen City]]+weekly_covid_deaths_council_area[[#This Row],[Aberdeenshire]]+weekly_covid_deaths_council_area[[#This Row],[Moray]]</f>
        <v>7</v>
      </c>
      <c r="K52" s="25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82</v>
      </c>
      <c r="L52" s="25">
        <f>weekly_covid_deaths_council_area[[#This Row],[Highland]]+weekly_covid_deaths_council_area[[#This Row],[Argyll and Bute]]</f>
        <v>2</v>
      </c>
      <c r="M52" s="60">
        <f>weekly_covid_deaths_council_area[[#This Row],[North Lanarkshire]]+weekly_covid_deaths_council_area[[#This Row],[South Lanarkshire]]</f>
        <v>51</v>
      </c>
      <c r="N52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31</v>
      </c>
      <c r="O52" s="60">
        <f>weekly_covid_deaths_council_area[[#This Row],[Orkney Islands]]</f>
        <v>0</v>
      </c>
      <c r="P52" s="60">
        <f>weekly_covid_deaths_council_area[[#This Row],[Shetland Islands]]</f>
        <v>0</v>
      </c>
      <c r="Q52" s="60">
        <f>weekly_covid_deaths_council_area[[#This Row],[Angus]]+weekly_covid_deaths_council_area[[#This Row],[Dundee City]]+weekly_covid_deaths_council_area[[#This Row],[Perth and Kinross]]</f>
        <v>10</v>
      </c>
      <c r="R52" s="60">
        <f>weekly_covid_deaths_council_area[[#This Row],[Na h-Eileanan Siar]]</f>
        <v>0</v>
      </c>
    </row>
    <row r="53" spans="1:18" ht="16.149999999999999" customHeight="1" x14ac:dyDescent="0.35">
      <c r="A53" s="14" t="s">
        <v>85</v>
      </c>
      <c r="B53" s="15">
        <v>48</v>
      </c>
      <c r="C53" s="16">
        <v>44158</v>
      </c>
      <c r="D53" s="21">
        <f>SUM(weekly_covid_deaths_health_board[[#This Row],[Ayrshire and Arran]:[Western Isles]])</f>
        <v>252</v>
      </c>
      <c r="E53" s="52">
        <f>weekly_covid_deaths_council_area[[#This Row],[East Ayrshire]]+weekly_covid_deaths_council_area[[#This Row],[North Ayrshire]]+weekly_covid_deaths_council_area[[#This Row],[South Ayrshire]]</f>
        <v>31</v>
      </c>
      <c r="F53" s="52">
        <f>weekly_covid_deaths_council_area[[#This Row],[Scottish Borders ]]</f>
        <v>2</v>
      </c>
      <c r="G53" s="52">
        <f>weekly_covid_deaths_council_area[[#This Row],[Dumfries and Galloway]]</f>
        <v>5</v>
      </c>
      <c r="H53" s="52">
        <f>weekly_covid_deaths_council_area[[#This Row],[Fife]]</f>
        <v>11</v>
      </c>
      <c r="I53" s="52">
        <f>weekly_covid_deaths_council_area[[#This Row],[Clackmannanshire]]+weekly_covid_deaths_council_area[[#This Row],[Falkirk]]+weekly_covid_deaths_council_area[[#This Row],[Stirling]]</f>
        <v>13</v>
      </c>
      <c r="J53" s="52">
        <f>weekly_covid_deaths_council_area[[#This Row],[Aberdeen City]]+weekly_covid_deaths_council_area[[#This Row],[Aberdeenshire]]+weekly_covid_deaths_council_area[[#This Row],[Moray]]</f>
        <v>7</v>
      </c>
      <c r="K53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82</v>
      </c>
      <c r="L53" s="52">
        <f>weekly_covid_deaths_council_area[[#This Row],[Highland]]+weekly_covid_deaths_council_area[[#This Row],[Argyll and Bute]]</f>
        <v>0</v>
      </c>
      <c r="M53" s="60">
        <f>weekly_covid_deaths_council_area[[#This Row],[North Lanarkshire]]+weekly_covid_deaths_council_area[[#This Row],[South Lanarkshire]]</f>
        <v>54</v>
      </c>
      <c r="N53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28</v>
      </c>
      <c r="O53" s="60">
        <f>weekly_covid_deaths_council_area[[#This Row],[Orkney Islands]]</f>
        <v>0</v>
      </c>
      <c r="P53" s="60">
        <f>weekly_covid_deaths_council_area[[#This Row],[Shetland Islands]]</f>
        <v>0</v>
      </c>
      <c r="Q53" s="60">
        <f>weekly_covid_deaths_council_area[[#This Row],[Angus]]+weekly_covid_deaths_council_area[[#This Row],[Dundee City]]+weekly_covid_deaths_council_area[[#This Row],[Perth and Kinross]]</f>
        <v>19</v>
      </c>
      <c r="R53" s="60">
        <f>weekly_covid_deaths_council_area[[#This Row],[Na h-Eileanan Siar]]</f>
        <v>0</v>
      </c>
    </row>
    <row r="54" spans="1:18" ht="16.149999999999999" customHeight="1" x14ac:dyDescent="0.35">
      <c r="A54" s="14" t="s">
        <v>85</v>
      </c>
      <c r="B54" s="15">
        <v>49</v>
      </c>
      <c r="C54" s="16">
        <v>44165</v>
      </c>
      <c r="D54" s="21">
        <f>SUM(weekly_covid_deaths_health_board[[#This Row],[Ayrshire and Arran]:[Western Isles]])</f>
        <v>233</v>
      </c>
      <c r="E54" s="52">
        <f>weekly_covid_deaths_council_area[[#This Row],[East Ayrshire]]+weekly_covid_deaths_council_area[[#This Row],[North Ayrshire]]+weekly_covid_deaths_council_area[[#This Row],[South Ayrshire]]</f>
        <v>34</v>
      </c>
      <c r="F54" s="52">
        <f>weekly_covid_deaths_council_area[[#This Row],[Scottish Borders ]]</f>
        <v>1</v>
      </c>
      <c r="G54" s="52">
        <f>weekly_covid_deaths_council_area[[#This Row],[Dumfries and Galloway]]</f>
        <v>0</v>
      </c>
      <c r="H54" s="52">
        <f>weekly_covid_deaths_council_area[[#This Row],[Fife]]</f>
        <v>4</v>
      </c>
      <c r="I54" s="52">
        <f>weekly_covid_deaths_council_area[[#This Row],[Clackmannanshire]]+weekly_covid_deaths_council_area[[#This Row],[Falkirk]]+weekly_covid_deaths_council_area[[#This Row],[Stirling]]</f>
        <v>8</v>
      </c>
      <c r="J54" s="52">
        <f>weekly_covid_deaths_council_area[[#This Row],[Aberdeen City]]+weekly_covid_deaths_council_area[[#This Row],[Aberdeenshire]]+weekly_covid_deaths_council_area[[#This Row],[Moray]]</f>
        <v>10</v>
      </c>
      <c r="K54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73</v>
      </c>
      <c r="L54" s="52">
        <f>weekly_covid_deaths_council_area[[#This Row],[Highland]]+weekly_covid_deaths_council_area[[#This Row],[Argyll and Bute]]</f>
        <v>2</v>
      </c>
      <c r="M54" s="60">
        <f>weekly_covid_deaths_council_area[[#This Row],[North Lanarkshire]]+weekly_covid_deaths_council_area[[#This Row],[South Lanarkshire]]</f>
        <v>54</v>
      </c>
      <c r="N54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29</v>
      </c>
      <c r="O54" s="60">
        <f>weekly_covid_deaths_council_area[[#This Row],[Orkney Islands]]</f>
        <v>0</v>
      </c>
      <c r="P54" s="60">
        <f>weekly_covid_deaths_council_area[[#This Row],[Shetland Islands]]</f>
        <v>0</v>
      </c>
      <c r="Q54" s="60">
        <f>weekly_covid_deaths_council_area[[#This Row],[Angus]]+weekly_covid_deaths_council_area[[#This Row],[Dundee City]]+weekly_covid_deaths_council_area[[#This Row],[Perth and Kinross]]</f>
        <v>18</v>
      </c>
      <c r="R54" s="60">
        <f>weekly_covid_deaths_council_area[[#This Row],[Na h-Eileanan Siar]]</f>
        <v>0</v>
      </c>
    </row>
    <row r="55" spans="1:18" ht="16.149999999999999" customHeight="1" x14ac:dyDescent="0.35">
      <c r="A55" s="14" t="s">
        <v>85</v>
      </c>
      <c r="B55" s="15">
        <v>50</v>
      </c>
      <c r="C55" s="16">
        <v>44172</v>
      </c>
      <c r="D55" s="21">
        <f>SUM(weekly_covid_deaths_health_board[[#This Row],[Ayrshire and Arran]:[Western Isles]])</f>
        <v>227</v>
      </c>
      <c r="E55" s="52">
        <f>weekly_covid_deaths_council_area[[#This Row],[East Ayrshire]]+weekly_covid_deaths_council_area[[#This Row],[North Ayrshire]]+weekly_covid_deaths_council_area[[#This Row],[South Ayrshire]]</f>
        <v>28</v>
      </c>
      <c r="F55" s="52">
        <f>weekly_covid_deaths_council_area[[#This Row],[Scottish Borders ]]</f>
        <v>2</v>
      </c>
      <c r="G55" s="52">
        <f>weekly_covid_deaths_council_area[[#This Row],[Dumfries and Galloway]]</f>
        <v>1</v>
      </c>
      <c r="H55" s="52">
        <f>weekly_covid_deaths_council_area[[#This Row],[Fife]]</f>
        <v>12</v>
      </c>
      <c r="I55" s="52">
        <f>weekly_covid_deaths_council_area[[#This Row],[Clackmannanshire]]+weekly_covid_deaths_council_area[[#This Row],[Falkirk]]+weekly_covid_deaths_council_area[[#This Row],[Stirling]]</f>
        <v>6</v>
      </c>
      <c r="J55" s="52">
        <f>weekly_covid_deaths_council_area[[#This Row],[Aberdeen City]]+weekly_covid_deaths_council_area[[#This Row],[Aberdeenshire]]+weekly_covid_deaths_council_area[[#This Row],[Moray]]</f>
        <v>18</v>
      </c>
      <c r="K55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60</v>
      </c>
      <c r="L55" s="52">
        <f>weekly_covid_deaths_council_area[[#This Row],[Highland]]+weekly_covid_deaths_council_area[[#This Row],[Argyll and Bute]]</f>
        <v>2</v>
      </c>
      <c r="M55" s="60">
        <f>weekly_covid_deaths_council_area[[#This Row],[North Lanarkshire]]+weekly_covid_deaths_council_area[[#This Row],[South Lanarkshire]]</f>
        <v>48</v>
      </c>
      <c r="N55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40</v>
      </c>
      <c r="O55" s="60">
        <f>weekly_covid_deaths_council_area[[#This Row],[Orkney Islands]]</f>
        <v>0</v>
      </c>
      <c r="P55" s="60">
        <f>weekly_covid_deaths_council_area[[#This Row],[Shetland Islands]]</f>
        <v>0</v>
      </c>
      <c r="Q55" s="60">
        <f>weekly_covid_deaths_council_area[[#This Row],[Angus]]+weekly_covid_deaths_council_area[[#This Row],[Dundee City]]+weekly_covid_deaths_council_area[[#This Row],[Perth and Kinross]]</f>
        <v>10</v>
      </c>
      <c r="R55" s="60">
        <f>weekly_covid_deaths_council_area[[#This Row],[Na h-Eileanan Siar]]</f>
        <v>0</v>
      </c>
    </row>
    <row r="56" spans="1:18" ht="16.149999999999999" customHeight="1" x14ac:dyDescent="0.35">
      <c r="A56" s="14" t="s">
        <v>85</v>
      </c>
      <c r="B56" s="15">
        <v>51</v>
      </c>
      <c r="C56" s="16">
        <v>44179</v>
      </c>
      <c r="D56" s="21">
        <f>SUM(weekly_covid_deaths_health_board[[#This Row],[Ayrshire and Arran]:[Western Isles]])</f>
        <v>208</v>
      </c>
      <c r="E56" s="52">
        <f>weekly_covid_deaths_council_area[[#This Row],[East Ayrshire]]+weekly_covid_deaths_council_area[[#This Row],[North Ayrshire]]+weekly_covid_deaths_council_area[[#This Row],[South Ayrshire]]</f>
        <v>22</v>
      </c>
      <c r="F56" s="52">
        <f>weekly_covid_deaths_council_area[[#This Row],[Scottish Borders ]]</f>
        <v>5</v>
      </c>
      <c r="G56" s="52">
        <f>weekly_covid_deaths_council_area[[#This Row],[Dumfries and Galloway]]</f>
        <v>0</v>
      </c>
      <c r="H56" s="52">
        <f>weekly_covid_deaths_council_area[[#This Row],[Fife]]</f>
        <v>12</v>
      </c>
      <c r="I56" s="52">
        <f>weekly_covid_deaths_council_area[[#This Row],[Clackmannanshire]]+weekly_covid_deaths_council_area[[#This Row],[Falkirk]]+weekly_covid_deaths_council_area[[#This Row],[Stirling]]</f>
        <v>7</v>
      </c>
      <c r="J56" s="52">
        <f>weekly_covid_deaths_council_area[[#This Row],[Aberdeen City]]+weekly_covid_deaths_council_area[[#This Row],[Aberdeenshire]]+weekly_covid_deaths_council_area[[#This Row],[Moray]]</f>
        <v>20</v>
      </c>
      <c r="K56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60</v>
      </c>
      <c r="L56" s="52">
        <f>weekly_covid_deaths_council_area[[#This Row],[Highland]]+weekly_covid_deaths_council_area[[#This Row],[Argyll and Bute]]</f>
        <v>2</v>
      </c>
      <c r="M56" s="60">
        <f>weekly_covid_deaths_council_area[[#This Row],[North Lanarkshire]]+weekly_covid_deaths_council_area[[#This Row],[South Lanarkshire]]</f>
        <v>37</v>
      </c>
      <c r="N56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32</v>
      </c>
      <c r="O56" s="60">
        <f>weekly_covid_deaths_council_area[[#This Row],[Orkney Islands]]</f>
        <v>0</v>
      </c>
      <c r="P56" s="60">
        <f>weekly_covid_deaths_council_area[[#This Row],[Shetland Islands]]</f>
        <v>0</v>
      </c>
      <c r="Q56" s="60">
        <f>weekly_covid_deaths_council_area[[#This Row],[Angus]]+weekly_covid_deaths_council_area[[#This Row],[Dundee City]]+weekly_covid_deaths_council_area[[#This Row],[Perth and Kinross]]</f>
        <v>11</v>
      </c>
      <c r="R56" s="60">
        <f>weekly_covid_deaths_council_area[[#This Row],[Na h-Eileanan Siar]]</f>
        <v>0</v>
      </c>
    </row>
    <row r="57" spans="1:18" ht="16.149999999999999" customHeight="1" x14ac:dyDescent="0.35">
      <c r="A57" s="14" t="s">
        <v>85</v>
      </c>
      <c r="B57" s="15">
        <v>52</v>
      </c>
      <c r="C57" s="16">
        <v>44186</v>
      </c>
      <c r="D57" s="21">
        <f>SUM(weekly_covid_deaths_health_board[[#This Row],[Ayrshire and Arran]:[Western Isles]])</f>
        <v>203</v>
      </c>
      <c r="E57" s="52">
        <f>weekly_covid_deaths_council_area[[#This Row],[East Ayrshire]]+weekly_covid_deaths_council_area[[#This Row],[North Ayrshire]]+weekly_covid_deaths_council_area[[#This Row],[South Ayrshire]]</f>
        <v>21</v>
      </c>
      <c r="F57" s="52">
        <f>weekly_covid_deaths_council_area[[#This Row],[Scottish Borders ]]</f>
        <v>1</v>
      </c>
      <c r="G57" s="52">
        <f>weekly_covid_deaths_council_area[[#This Row],[Dumfries and Galloway]]</f>
        <v>0</v>
      </c>
      <c r="H57" s="52">
        <f>weekly_covid_deaths_council_area[[#This Row],[Fife]]</f>
        <v>23</v>
      </c>
      <c r="I57" s="52">
        <f>weekly_covid_deaths_council_area[[#This Row],[Clackmannanshire]]+weekly_covid_deaths_council_area[[#This Row],[Falkirk]]+weekly_covid_deaths_council_area[[#This Row],[Stirling]]</f>
        <v>13</v>
      </c>
      <c r="J57" s="52">
        <f>weekly_covid_deaths_council_area[[#This Row],[Aberdeen City]]+weekly_covid_deaths_council_area[[#This Row],[Aberdeenshire]]+weekly_covid_deaths_council_area[[#This Row],[Moray]]</f>
        <v>16</v>
      </c>
      <c r="K57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51</v>
      </c>
      <c r="L57" s="52">
        <f>weekly_covid_deaths_council_area[[#This Row],[Highland]]+weekly_covid_deaths_council_area[[#This Row],[Argyll and Bute]]</f>
        <v>3</v>
      </c>
      <c r="M57" s="60">
        <f>weekly_covid_deaths_council_area[[#This Row],[North Lanarkshire]]+weekly_covid_deaths_council_area[[#This Row],[South Lanarkshire]]</f>
        <v>37</v>
      </c>
      <c r="N57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24</v>
      </c>
      <c r="O57" s="60">
        <f>weekly_covid_deaths_council_area[[#This Row],[Orkney Islands]]</f>
        <v>0</v>
      </c>
      <c r="P57" s="60">
        <f>weekly_covid_deaths_council_area[[#This Row],[Shetland Islands]]</f>
        <v>0</v>
      </c>
      <c r="Q57" s="60">
        <f>weekly_covid_deaths_council_area[[#This Row],[Angus]]+weekly_covid_deaths_council_area[[#This Row],[Dundee City]]+weekly_covid_deaths_council_area[[#This Row],[Perth and Kinross]]</f>
        <v>14</v>
      </c>
      <c r="R57" s="60">
        <f>weekly_covid_deaths_council_area[[#This Row],[Na h-Eileanan Siar]]</f>
        <v>0</v>
      </c>
    </row>
    <row r="58" spans="1:18" ht="16.149999999999999" customHeight="1" x14ac:dyDescent="0.35">
      <c r="A58" s="11" t="s">
        <v>85</v>
      </c>
      <c r="B58" s="15">
        <v>53</v>
      </c>
      <c r="C58" s="16">
        <v>44193</v>
      </c>
      <c r="D58" s="21">
        <f>SUM(weekly_covid_deaths_health_board[[#This Row],[Ayrshire and Arran]:[Western Isles]])</f>
        <v>187</v>
      </c>
      <c r="E58" s="52">
        <f>weekly_covid_deaths_council_area[[#This Row],[East Ayrshire]]+weekly_covid_deaths_council_area[[#This Row],[North Ayrshire]]+weekly_covid_deaths_council_area[[#This Row],[South Ayrshire]]</f>
        <v>19</v>
      </c>
      <c r="F58" s="52">
        <f>weekly_covid_deaths_council_area[[#This Row],[Scottish Borders ]]</f>
        <v>9</v>
      </c>
      <c r="G58" s="52">
        <f>weekly_covid_deaths_council_area[[#This Row],[Dumfries and Galloway]]</f>
        <v>0</v>
      </c>
      <c r="H58" s="52">
        <f>weekly_covid_deaths_council_area[[#This Row],[Fife]]</f>
        <v>16</v>
      </c>
      <c r="I58" s="52">
        <f>weekly_covid_deaths_council_area[[#This Row],[Clackmannanshire]]+weekly_covid_deaths_council_area[[#This Row],[Falkirk]]+weekly_covid_deaths_council_area[[#This Row],[Stirling]]</f>
        <v>6</v>
      </c>
      <c r="J58" s="52">
        <f>weekly_covid_deaths_council_area[[#This Row],[Aberdeen City]]+weekly_covid_deaths_council_area[[#This Row],[Aberdeenshire]]+weekly_covid_deaths_council_area[[#This Row],[Moray]]</f>
        <v>15</v>
      </c>
      <c r="K58" s="52">
        <f>weekly_covid_deaths_council_area[[#This Row],[East Dunbartonshire]]+weekly_covid_deaths_council_area[[#This Row],[East Renfrewshire]]+weekly_covid_deaths_council_area[[#This Row],[Glasgow City]]+weekly_covid_deaths_council_area[[#This Row],[Inverclyde]]+weekly_covid_deaths_council_area[[#This Row],[Renfrewshire]]+weekly_covid_deaths_council_area[[#This Row],[West Dunbartonshire]]</f>
        <v>44</v>
      </c>
      <c r="L58" s="52">
        <f>weekly_covid_deaths_council_area[[#This Row],[Highland]]+weekly_covid_deaths_council_area[[#This Row],[Argyll and Bute]]</f>
        <v>2</v>
      </c>
      <c r="M58" s="60">
        <f>weekly_covid_deaths_council_area[[#This Row],[North Lanarkshire]]+weekly_covid_deaths_council_area[[#This Row],[South Lanarkshire]]</f>
        <v>28</v>
      </c>
      <c r="N58" s="60">
        <f>weekly_covid_deaths_council_area[[#This Row],[City of Edinburgh]]+weekly_covid_deaths_council_area[[#This Row],[East Lothian]]+weekly_covid_deaths_council_area[[#This Row],[Midlothian]]+weekly_covid_deaths_council_area[[#This Row],[West Lothian]]</f>
        <v>32</v>
      </c>
      <c r="O58" s="60">
        <f>weekly_covid_deaths_council_area[[#This Row],[Orkney Islands]]</f>
        <v>0</v>
      </c>
      <c r="P58" s="60">
        <f>weekly_covid_deaths_council_area[[#This Row],[Shetland Islands]]</f>
        <v>0</v>
      </c>
      <c r="Q58" s="60">
        <f>weekly_covid_deaths_council_area[[#This Row],[Angus]]+weekly_covid_deaths_council_area[[#This Row],[Dundee City]]+weekly_covid_deaths_council_area[[#This Row],[Perth and Kinross]]</f>
        <v>16</v>
      </c>
      <c r="R58" s="60">
        <f>weekly_covid_deaths_council_area[[#This Row],[Na h-Eileanan Siar]]</f>
        <v>0</v>
      </c>
    </row>
  </sheetData>
  <hyperlinks>
    <hyperlink ref="A4" location="Contents!A1" display="Back to table of contents" xr:uid="{00000000-0004-0000-0400-000000000000}"/>
  </hyperlink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59"/>
  <sheetViews>
    <sheetView zoomScaleNormal="100" workbookViewId="0"/>
  </sheetViews>
  <sheetFormatPr defaultColWidth="9.26953125" defaultRowHeight="15.5" x14ac:dyDescent="0.35"/>
  <cols>
    <col min="1" max="3" width="16.7265625" style="10" customWidth="1"/>
    <col min="4" max="36" width="21.7265625" style="10" customWidth="1"/>
    <col min="37" max="16384" width="9.26953125" style="10"/>
  </cols>
  <sheetData>
    <row r="1" spans="1:36" s="5" customFormat="1" x14ac:dyDescent="0.35">
      <c r="A1" s="4" t="s">
        <v>165</v>
      </c>
    </row>
    <row r="2" spans="1:36" s="5" customFormat="1" x14ac:dyDescent="0.35">
      <c r="A2" s="6" t="s">
        <v>108</v>
      </c>
    </row>
    <row r="3" spans="1:36" s="5" customFormat="1" x14ac:dyDescent="0.35">
      <c r="A3" s="6" t="s">
        <v>49</v>
      </c>
    </row>
    <row r="4" spans="1:36" s="5" customFormat="1" ht="30" customHeight="1" x14ac:dyDescent="0.35">
      <c r="A4" s="63" t="s">
        <v>53</v>
      </c>
    </row>
    <row r="5" spans="1:36" ht="47.15" customHeight="1" thickBot="1" x14ac:dyDescent="0.4">
      <c r="A5" s="12" t="s">
        <v>87</v>
      </c>
      <c r="B5" s="13" t="s">
        <v>57</v>
      </c>
      <c r="C5" s="13" t="s">
        <v>86</v>
      </c>
      <c r="D5" s="8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6" t="s">
        <v>23</v>
      </c>
      <c r="AA5" s="26" t="s">
        <v>24</v>
      </c>
      <c r="AB5" s="26" t="s">
        <v>25</v>
      </c>
      <c r="AC5" s="26" t="s">
        <v>26</v>
      </c>
      <c r="AD5" s="26" t="s">
        <v>27</v>
      </c>
      <c r="AE5" s="26" t="s">
        <v>28</v>
      </c>
      <c r="AF5" s="26" t="s">
        <v>29</v>
      </c>
      <c r="AG5" s="26" t="s">
        <v>30</v>
      </c>
      <c r="AH5" s="26" t="s">
        <v>31</v>
      </c>
      <c r="AI5" s="26" t="s">
        <v>32</v>
      </c>
      <c r="AJ5" s="26" t="s">
        <v>33</v>
      </c>
    </row>
    <row r="6" spans="1:36" ht="30" customHeight="1" x14ac:dyDescent="0.35">
      <c r="A6" s="14" t="s">
        <v>85</v>
      </c>
      <c r="B6" s="15">
        <v>1</v>
      </c>
      <c r="C6" s="16">
        <v>43829</v>
      </c>
      <c r="D6" s="21">
        <f>SUM(weekly_covid_deaths_council_area[[#This Row],[Aberdeen City]:[West Lothian]])</f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</row>
    <row r="7" spans="1:36" ht="16.149999999999999" customHeight="1" x14ac:dyDescent="0.35">
      <c r="A7" s="14" t="s">
        <v>85</v>
      </c>
      <c r="B7" s="15">
        <v>2</v>
      </c>
      <c r="C7" s="16">
        <v>43836</v>
      </c>
      <c r="D7" s="21">
        <f>SUM(weekly_covid_deaths_council_area[[#This Row],[Aberdeen City]:[West Lothian]])</f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</row>
    <row r="8" spans="1:36" ht="16.149999999999999" customHeight="1" x14ac:dyDescent="0.35">
      <c r="A8" s="14" t="s">
        <v>85</v>
      </c>
      <c r="B8" s="15">
        <v>3</v>
      </c>
      <c r="C8" s="16">
        <v>43843</v>
      </c>
      <c r="D8" s="21">
        <f>SUM(weekly_covid_deaths_council_area[[#This Row],[Aberdeen City]:[West Lothian]])</f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</row>
    <row r="9" spans="1:36" ht="16.149999999999999" customHeight="1" x14ac:dyDescent="0.35">
      <c r="A9" s="14" t="s">
        <v>85</v>
      </c>
      <c r="B9" s="15">
        <v>4</v>
      </c>
      <c r="C9" s="16">
        <v>43850</v>
      </c>
      <c r="D9" s="21">
        <f>SUM(weekly_covid_deaths_council_area[[#This Row],[Aberdeen City]:[West Lothian]])</f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</row>
    <row r="10" spans="1:36" ht="16.149999999999999" customHeight="1" x14ac:dyDescent="0.35">
      <c r="A10" s="14" t="s">
        <v>85</v>
      </c>
      <c r="B10" s="15">
        <v>5</v>
      </c>
      <c r="C10" s="16">
        <v>43857</v>
      </c>
      <c r="D10" s="21">
        <f>SUM(weekly_covid_deaths_council_area[[#This Row],[Aberdeen City]:[West Lothian]])</f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</row>
    <row r="11" spans="1:36" ht="16.149999999999999" customHeight="1" x14ac:dyDescent="0.35">
      <c r="A11" s="14" t="s">
        <v>85</v>
      </c>
      <c r="B11" s="15">
        <v>6</v>
      </c>
      <c r="C11" s="16">
        <v>43864</v>
      </c>
      <c r="D11" s="21">
        <f>SUM(weekly_covid_deaths_council_area[[#This Row],[Aberdeen City]:[West Lothian]])</f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</row>
    <row r="12" spans="1:36" ht="16.149999999999999" customHeight="1" x14ac:dyDescent="0.35">
      <c r="A12" s="14" t="s">
        <v>85</v>
      </c>
      <c r="B12" s="15">
        <v>7</v>
      </c>
      <c r="C12" s="16">
        <v>43871</v>
      </c>
      <c r="D12" s="21">
        <f>SUM(weekly_covid_deaths_council_area[[#This Row],[Aberdeen City]:[West Lothian]])</f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</row>
    <row r="13" spans="1:36" ht="16.149999999999999" customHeight="1" x14ac:dyDescent="0.35">
      <c r="A13" s="14" t="s">
        <v>85</v>
      </c>
      <c r="B13" s="15">
        <v>8</v>
      </c>
      <c r="C13" s="16">
        <v>43878</v>
      </c>
      <c r="D13" s="21">
        <f>SUM(weekly_covid_deaths_council_area[[#This Row],[Aberdeen City]:[West Lothian]])</f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</row>
    <row r="14" spans="1:36" ht="16.149999999999999" customHeight="1" x14ac:dyDescent="0.35">
      <c r="A14" s="14" t="s">
        <v>85</v>
      </c>
      <c r="B14" s="15">
        <v>9</v>
      </c>
      <c r="C14" s="16">
        <v>43885</v>
      </c>
      <c r="D14" s="21">
        <f>SUM(weekly_covid_deaths_council_area[[#This Row],[Aberdeen City]:[West Lothian]])</f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</row>
    <row r="15" spans="1:36" ht="16.149999999999999" customHeight="1" x14ac:dyDescent="0.35">
      <c r="A15" s="14" t="s">
        <v>85</v>
      </c>
      <c r="B15" s="15">
        <v>10</v>
      </c>
      <c r="C15" s="16">
        <v>43892</v>
      </c>
      <c r="D15" s="21">
        <f>SUM(weekly_covid_deaths_council_area[[#This Row],[Aberdeen City]:[West Lothian]])</f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</row>
    <row r="16" spans="1:36" ht="16.149999999999999" customHeight="1" x14ac:dyDescent="0.35">
      <c r="A16" s="14" t="s">
        <v>85</v>
      </c>
      <c r="B16" s="15">
        <v>11</v>
      </c>
      <c r="C16" s="16">
        <v>43899</v>
      </c>
      <c r="D16" s="21">
        <f>SUM(weekly_covid_deaths_council_area[[#This Row],[Aberdeen City]:[West Lothian]])</f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</row>
    <row r="17" spans="1:36" ht="16.149999999999999" customHeight="1" x14ac:dyDescent="0.35">
      <c r="A17" s="14" t="s">
        <v>85</v>
      </c>
      <c r="B17" s="15">
        <v>12</v>
      </c>
      <c r="C17" s="16">
        <v>43906</v>
      </c>
      <c r="D17" s="21">
        <f>SUM(weekly_covid_deaths_council_area[[#This Row],[Aberdeen City]:[West Lothian]])</f>
        <v>11</v>
      </c>
      <c r="E17" s="25">
        <v>1</v>
      </c>
      <c r="F17" s="25">
        <v>1</v>
      </c>
      <c r="G17" s="25">
        <v>0</v>
      </c>
      <c r="H17" s="25">
        <v>0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2</v>
      </c>
      <c r="S17" s="25">
        <v>1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1</v>
      </c>
      <c r="Z17" s="25">
        <v>0</v>
      </c>
      <c r="AA17" s="25">
        <v>0</v>
      </c>
      <c r="AB17" s="25">
        <v>0</v>
      </c>
      <c r="AC17" s="25">
        <v>2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1</v>
      </c>
    </row>
    <row r="18" spans="1:36" ht="16.149999999999999" customHeight="1" x14ac:dyDescent="0.35">
      <c r="A18" s="14" t="s">
        <v>85</v>
      </c>
      <c r="B18" s="15">
        <v>13</v>
      </c>
      <c r="C18" s="16">
        <v>43913</v>
      </c>
      <c r="D18" s="21">
        <f>SUM(weekly_covid_deaths_council_area[[#This Row],[Aberdeen City]:[West Lothian]])</f>
        <v>62</v>
      </c>
      <c r="E18" s="25">
        <v>0</v>
      </c>
      <c r="F18" s="25">
        <v>1</v>
      </c>
      <c r="G18" s="25">
        <v>1</v>
      </c>
      <c r="H18" s="25">
        <v>5</v>
      </c>
      <c r="I18" s="25">
        <v>3</v>
      </c>
      <c r="J18" s="25">
        <v>1</v>
      </c>
      <c r="K18" s="25">
        <v>0</v>
      </c>
      <c r="L18" s="25">
        <v>0</v>
      </c>
      <c r="M18" s="25">
        <v>3</v>
      </c>
      <c r="N18" s="25">
        <v>0</v>
      </c>
      <c r="O18" s="25">
        <v>0</v>
      </c>
      <c r="P18" s="25">
        <v>1</v>
      </c>
      <c r="Q18" s="25">
        <v>6</v>
      </c>
      <c r="R18" s="25">
        <v>4</v>
      </c>
      <c r="S18" s="25">
        <v>7</v>
      </c>
      <c r="T18" s="25">
        <v>0</v>
      </c>
      <c r="U18" s="25">
        <v>3</v>
      </c>
      <c r="V18" s="25">
        <v>2</v>
      </c>
      <c r="W18" s="25">
        <v>2</v>
      </c>
      <c r="X18" s="25">
        <v>0</v>
      </c>
      <c r="Y18" s="25">
        <v>5</v>
      </c>
      <c r="Z18" s="25">
        <v>5</v>
      </c>
      <c r="AA18" s="25">
        <v>0</v>
      </c>
      <c r="AB18" s="25">
        <v>2</v>
      </c>
      <c r="AC18" s="25">
        <v>0</v>
      </c>
      <c r="AD18" s="25">
        <v>3</v>
      </c>
      <c r="AE18" s="25">
        <v>0</v>
      </c>
      <c r="AF18" s="25">
        <v>1</v>
      </c>
      <c r="AG18" s="25">
        <v>3</v>
      </c>
      <c r="AH18" s="25">
        <v>0</v>
      </c>
      <c r="AI18" s="25">
        <v>2</v>
      </c>
      <c r="AJ18" s="25">
        <v>2</v>
      </c>
    </row>
    <row r="19" spans="1:36" ht="16.149999999999999" customHeight="1" x14ac:dyDescent="0.35">
      <c r="A19" s="14" t="s">
        <v>85</v>
      </c>
      <c r="B19" s="15">
        <v>14</v>
      </c>
      <c r="C19" s="16">
        <v>43920</v>
      </c>
      <c r="D19" s="21">
        <f>SUM(weekly_covid_deaths_council_area[[#This Row],[Aberdeen City]:[West Lothian]])</f>
        <v>282</v>
      </c>
      <c r="E19" s="25">
        <v>2</v>
      </c>
      <c r="F19" s="25">
        <v>4</v>
      </c>
      <c r="G19" s="25">
        <v>2</v>
      </c>
      <c r="H19" s="25">
        <v>4</v>
      </c>
      <c r="I19" s="25">
        <v>17</v>
      </c>
      <c r="J19" s="25">
        <v>3</v>
      </c>
      <c r="K19" s="25">
        <v>12</v>
      </c>
      <c r="L19" s="25">
        <v>8</v>
      </c>
      <c r="M19" s="25">
        <v>3</v>
      </c>
      <c r="N19" s="25">
        <v>7</v>
      </c>
      <c r="O19" s="25">
        <v>2</v>
      </c>
      <c r="P19" s="25">
        <v>5</v>
      </c>
      <c r="Q19" s="25">
        <v>6</v>
      </c>
      <c r="R19" s="25">
        <v>9</v>
      </c>
      <c r="S19" s="25">
        <v>46</v>
      </c>
      <c r="T19" s="25">
        <v>7</v>
      </c>
      <c r="U19" s="25">
        <v>18</v>
      </c>
      <c r="V19" s="25">
        <v>5</v>
      </c>
      <c r="W19" s="25">
        <v>0</v>
      </c>
      <c r="X19" s="25">
        <v>0</v>
      </c>
      <c r="Y19" s="25">
        <v>10</v>
      </c>
      <c r="Z19" s="25">
        <v>28</v>
      </c>
      <c r="AA19" s="25">
        <v>0</v>
      </c>
      <c r="AB19" s="25">
        <v>4</v>
      </c>
      <c r="AC19" s="25">
        <v>15</v>
      </c>
      <c r="AD19" s="25">
        <v>13</v>
      </c>
      <c r="AE19" s="25">
        <v>1</v>
      </c>
      <c r="AF19" s="25">
        <v>4</v>
      </c>
      <c r="AG19" s="25">
        <v>12</v>
      </c>
      <c r="AH19" s="25">
        <v>11</v>
      </c>
      <c r="AI19" s="25">
        <v>16</v>
      </c>
      <c r="AJ19" s="25">
        <v>8</v>
      </c>
    </row>
    <row r="20" spans="1:36" ht="16.149999999999999" customHeight="1" x14ac:dyDescent="0.35">
      <c r="A20" s="14" t="s">
        <v>85</v>
      </c>
      <c r="B20" s="15">
        <v>15</v>
      </c>
      <c r="C20" s="16">
        <v>43927</v>
      </c>
      <c r="D20" s="21">
        <f>SUM(weekly_covid_deaths_council_area[[#This Row],[Aberdeen City]:[West Lothian]])</f>
        <v>609</v>
      </c>
      <c r="E20" s="25">
        <v>12</v>
      </c>
      <c r="F20" s="25">
        <v>21</v>
      </c>
      <c r="G20" s="25">
        <v>7</v>
      </c>
      <c r="H20" s="25">
        <v>7</v>
      </c>
      <c r="I20" s="25">
        <v>61</v>
      </c>
      <c r="J20" s="25">
        <v>3</v>
      </c>
      <c r="K20" s="25">
        <v>9</v>
      </c>
      <c r="L20" s="25">
        <v>20</v>
      </c>
      <c r="M20" s="25">
        <v>10</v>
      </c>
      <c r="N20" s="25">
        <v>9</v>
      </c>
      <c r="O20" s="25">
        <v>21</v>
      </c>
      <c r="P20" s="25">
        <v>15</v>
      </c>
      <c r="Q20" s="25">
        <v>17</v>
      </c>
      <c r="R20" s="25">
        <v>31</v>
      </c>
      <c r="S20" s="25">
        <v>98</v>
      </c>
      <c r="T20" s="25">
        <v>6</v>
      </c>
      <c r="U20" s="25">
        <v>29</v>
      </c>
      <c r="V20" s="25">
        <v>11</v>
      </c>
      <c r="W20" s="25">
        <v>2</v>
      </c>
      <c r="X20" s="25">
        <v>0</v>
      </c>
      <c r="Y20" s="25">
        <v>15</v>
      </c>
      <c r="Z20" s="25">
        <v>46</v>
      </c>
      <c r="AA20" s="25">
        <v>2</v>
      </c>
      <c r="AB20" s="25">
        <v>9</v>
      </c>
      <c r="AC20" s="25">
        <v>26</v>
      </c>
      <c r="AD20" s="25">
        <v>15</v>
      </c>
      <c r="AE20" s="25">
        <v>4</v>
      </c>
      <c r="AF20" s="25">
        <v>15</v>
      </c>
      <c r="AG20" s="25">
        <v>44</v>
      </c>
      <c r="AH20" s="25">
        <v>12</v>
      </c>
      <c r="AI20" s="25">
        <v>17</v>
      </c>
      <c r="AJ20" s="25">
        <v>15</v>
      </c>
    </row>
    <row r="21" spans="1:36" ht="16.149999999999999" customHeight="1" x14ac:dyDescent="0.35">
      <c r="A21" s="14" t="s">
        <v>85</v>
      </c>
      <c r="B21" s="15">
        <v>16</v>
      </c>
      <c r="C21" s="16">
        <v>43934</v>
      </c>
      <c r="D21" s="21">
        <f>SUM(weekly_covid_deaths_council_area[[#This Row],[Aberdeen City]:[West Lothian]])</f>
        <v>650</v>
      </c>
      <c r="E21" s="25">
        <v>18</v>
      </c>
      <c r="F21" s="25">
        <v>25</v>
      </c>
      <c r="G21" s="25">
        <v>12</v>
      </c>
      <c r="H21" s="25">
        <v>12</v>
      </c>
      <c r="I21" s="25">
        <v>64</v>
      </c>
      <c r="J21" s="25">
        <v>4</v>
      </c>
      <c r="K21" s="25">
        <v>10</v>
      </c>
      <c r="L21" s="25">
        <v>29</v>
      </c>
      <c r="M21" s="25">
        <v>12</v>
      </c>
      <c r="N21" s="25">
        <v>12</v>
      </c>
      <c r="O21" s="25">
        <v>20</v>
      </c>
      <c r="P21" s="25">
        <v>14</v>
      </c>
      <c r="Q21" s="25">
        <v>16</v>
      </c>
      <c r="R21" s="25">
        <v>39</v>
      </c>
      <c r="S21" s="25">
        <v>96</v>
      </c>
      <c r="T21" s="25">
        <v>9</v>
      </c>
      <c r="U21" s="25">
        <v>26</v>
      </c>
      <c r="V21" s="25">
        <v>16</v>
      </c>
      <c r="W21" s="25">
        <v>0</v>
      </c>
      <c r="X21" s="25">
        <v>0</v>
      </c>
      <c r="Y21" s="25">
        <v>13</v>
      </c>
      <c r="Z21" s="25">
        <v>46</v>
      </c>
      <c r="AA21" s="25">
        <v>0</v>
      </c>
      <c r="AB21" s="25">
        <v>10</v>
      </c>
      <c r="AC21" s="25">
        <v>33</v>
      </c>
      <c r="AD21" s="25">
        <v>7</v>
      </c>
      <c r="AE21" s="25">
        <v>1</v>
      </c>
      <c r="AF21" s="25">
        <v>26</v>
      </c>
      <c r="AG21" s="25">
        <v>44</v>
      </c>
      <c r="AH21" s="25">
        <v>11</v>
      </c>
      <c r="AI21" s="25">
        <v>17</v>
      </c>
      <c r="AJ21" s="25">
        <v>8</v>
      </c>
    </row>
    <row r="22" spans="1:36" ht="16.149999999999999" customHeight="1" x14ac:dyDescent="0.35">
      <c r="A22" s="14" t="s">
        <v>85</v>
      </c>
      <c r="B22" s="15">
        <v>17</v>
      </c>
      <c r="C22" s="16">
        <v>43941</v>
      </c>
      <c r="D22" s="21">
        <f>SUM(weekly_covid_deaths_council_area[[#This Row],[Aberdeen City]:[West Lothian]])</f>
        <v>663</v>
      </c>
      <c r="E22" s="25">
        <v>15</v>
      </c>
      <c r="F22" s="25">
        <v>23</v>
      </c>
      <c r="G22" s="25">
        <v>19</v>
      </c>
      <c r="H22" s="25">
        <v>14</v>
      </c>
      <c r="I22" s="25">
        <v>73</v>
      </c>
      <c r="J22" s="25">
        <v>4</v>
      </c>
      <c r="K22" s="25">
        <v>3</v>
      </c>
      <c r="L22" s="25">
        <v>27</v>
      </c>
      <c r="M22" s="25">
        <v>11</v>
      </c>
      <c r="N22" s="25">
        <v>18</v>
      </c>
      <c r="O22" s="25">
        <v>15</v>
      </c>
      <c r="P22" s="25">
        <v>13</v>
      </c>
      <c r="Q22" s="25">
        <v>25</v>
      </c>
      <c r="R22" s="25">
        <v>33</v>
      </c>
      <c r="S22" s="25">
        <v>125</v>
      </c>
      <c r="T22" s="25">
        <v>8</v>
      </c>
      <c r="U22" s="25">
        <v>17</v>
      </c>
      <c r="V22" s="25">
        <v>15</v>
      </c>
      <c r="W22" s="25">
        <v>2</v>
      </c>
      <c r="X22" s="25">
        <v>0</v>
      </c>
      <c r="Y22" s="25">
        <v>11</v>
      </c>
      <c r="Z22" s="25">
        <v>33</v>
      </c>
      <c r="AA22" s="25">
        <v>0</v>
      </c>
      <c r="AB22" s="25">
        <v>13</v>
      </c>
      <c r="AC22" s="25">
        <v>40</v>
      </c>
      <c r="AD22" s="25">
        <v>3</v>
      </c>
      <c r="AE22" s="25">
        <v>0</v>
      </c>
      <c r="AF22" s="25">
        <v>17</v>
      </c>
      <c r="AG22" s="25">
        <v>50</v>
      </c>
      <c r="AH22" s="25">
        <v>5</v>
      </c>
      <c r="AI22" s="25">
        <v>19</v>
      </c>
      <c r="AJ22" s="25">
        <v>12</v>
      </c>
    </row>
    <row r="23" spans="1:36" ht="16.149999999999999" customHeight="1" x14ac:dyDescent="0.35">
      <c r="A23" s="14" t="s">
        <v>85</v>
      </c>
      <c r="B23" s="15">
        <v>18</v>
      </c>
      <c r="C23" s="16">
        <v>43948</v>
      </c>
      <c r="D23" s="21">
        <f>SUM(weekly_covid_deaths_council_area[[#This Row],[Aberdeen City]:[West Lothian]])</f>
        <v>527</v>
      </c>
      <c r="E23" s="25">
        <v>15</v>
      </c>
      <c r="F23" s="25">
        <v>13</v>
      </c>
      <c r="G23" s="25">
        <v>7</v>
      </c>
      <c r="H23" s="25">
        <v>13</v>
      </c>
      <c r="I23" s="25">
        <v>61</v>
      </c>
      <c r="J23" s="25">
        <v>11</v>
      </c>
      <c r="K23" s="25">
        <v>6</v>
      </c>
      <c r="L23" s="25">
        <v>22</v>
      </c>
      <c r="M23" s="25">
        <v>10</v>
      </c>
      <c r="N23" s="25">
        <v>20</v>
      </c>
      <c r="O23" s="25">
        <v>5</v>
      </c>
      <c r="P23" s="25">
        <v>11</v>
      </c>
      <c r="Q23" s="25">
        <v>16</v>
      </c>
      <c r="R23" s="25">
        <v>25</v>
      </c>
      <c r="S23" s="25">
        <v>85</v>
      </c>
      <c r="T23" s="25">
        <v>3</v>
      </c>
      <c r="U23" s="25">
        <v>6</v>
      </c>
      <c r="V23" s="25">
        <v>27</v>
      </c>
      <c r="W23" s="25">
        <v>2</v>
      </c>
      <c r="X23" s="25">
        <v>0</v>
      </c>
      <c r="Y23" s="25">
        <v>12</v>
      </c>
      <c r="Z23" s="25">
        <v>37</v>
      </c>
      <c r="AA23" s="25">
        <v>0</v>
      </c>
      <c r="AB23" s="25">
        <v>5</v>
      </c>
      <c r="AC23" s="25">
        <v>33</v>
      </c>
      <c r="AD23" s="25">
        <v>4</v>
      </c>
      <c r="AE23" s="25">
        <v>1</v>
      </c>
      <c r="AF23" s="25">
        <v>12</v>
      </c>
      <c r="AG23" s="25">
        <v>37</v>
      </c>
      <c r="AH23" s="25">
        <v>5</v>
      </c>
      <c r="AI23" s="25">
        <v>17</v>
      </c>
      <c r="AJ23" s="25">
        <v>6</v>
      </c>
    </row>
    <row r="24" spans="1:36" ht="16.149999999999999" customHeight="1" x14ac:dyDescent="0.35">
      <c r="A24" s="14" t="s">
        <v>85</v>
      </c>
      <c r="B24" s="15">
        <v>19</v>
      </c>
      <c r="C24" s="16">
        <v>43955</v>
      </c>
      <c r="D24" s="21">
        <f>SUM(weekly_covid_deaths_council_area[[#This Row],[Aberdeen City]:[West Lothian]])</f>
        <v>414</v>
      </c>
      <c r="E24" s="25">
        <v>15</v>
      </c>
      <c r="F24" s="25">
        <v>11</v>
      </c>
      <c r="G24" s="25">
        <v>5</v>
      </c>
      <c r="H24" s="25">
        <v>3</v>
      </c>
      <c r="I24" s="25">
        <v>43</v>
      </c>
      <c r="J24" s="25">
        <v>9</v>
      </c>
      <c r="K24" s="25">
        <v>6</v>
      </c>
      <c r="L24" s="25">
        <v>17</v>
      </c>
      <c r="M24" s="25">
        <v>12</v>
      </c>
      <c r="N24" s="25">
        <v>22</v>
      </c>
      <c r="O24" s="25">
        <v>7</v>
      </c>
      <c r="P24" s="25">
        <v>19</v>
      </c>
      <c r="Q24" s="25">
        <v>17</v>
      </c>
      <c r="R24" s="25">
        <v>19</v>
      </c>
      <c r="S24" s="25">
        <v>58</v>
      </c>
      <c r="T24" s="25">
        <v>6</v>
      </c>
      <c r="U24" s="25">
        <v>4</v>
      </c>
      <c r="V24" s="25">
        <v>18</v>
      </c>
      <c r="W24" s="25">
        <v>2</v>
      </c>
      <c r="X24" s="25">
        <v>0</v>
      </c>
      <c r="Y24" s="25">
        <v>7</v>
      </c>
      <c r="Z24" s="25">
        <v>15</v>
      </c>
      <c r="AA24" s="25">
        <v>0</v>
      </c>
      <c r="AB24" s="25">
        <v>11</v>
      </c>
      <c r="AC24" s="25">
        <v>11</v>
      </c>
      <c r="AD24" s="25">
        <v>3</v>
      </c>
      <c r="AE24" s="25">
        <v>0</v>
      </c>
      <c r="AF24" s="25">
        <v>9</v>
      </c>
      <c r="AG24" s="25">
        <v>36</v>
      </c>
      <c r="AH24" s="25">
        <v>5</v>
      </c>
      <c r="AI24" s="25">
        <v>11</v>
      </c>
      <c r="AJ24" s="25">
        <v>13</v>
      </c>
    </row>
    <row r="25" spans="1:36" ht="16.149999999999999" customHeight="1" x14ac:dyDescent="0.35">
      <c r="A25" s="14" t="s">
        <v>85</v>
      </c>
      <c r="B25" s="15">
        <v>20</v>
      </c>
      <c r="C25" s="16">
        <v>43962</v>
      </c>
      <c r="D25" s="21">
        <f>SUM(weekly_covid_deaths_council_area[[#This Row],[Aberdeen City]:[West Lothian]])</f>
        <v>336</v>
      </c>
      <c r="E25" s="25">
        <v>16</v>
      </c>
      <c r="F25" s="25">
        <v>8</v>
      </c>
      <c r="G25" s="25">
        <v>5</v>
      </c>
      <c r="H25" s="25">
        <v>1</v>
      </c>
      <c r="I25" s="25">
        <v>39</v>
      </c>
      <c r="J25" s="25">
        <v>6</v>
      </c>
      <c r="K25" s="25">
        <v>1</v>
      </c>
      <c r="L25" s="25">
        <v>12</v>
      </c>
      <c r="M25" s="25">
        <v>4</v>
      </c>
      <c r="N25" s="25">
        <v>16</v>
      </c>
      <c r="O25" s="25">
        <v>3</v>
      </c>
      <c r="P25" s="25">
        <v>11</v>
      </c>
      <c r="Q25" s="25">
        <v>9</v>
      </c>
      <c r="R25" s="25">
        <v>15</v>
      </c>
      <c r="S25" s="25">
        <v>59</v>
      </c>
      <c r="T25" s="25">
        <v>5</v>
      </c>
      <c r="U25" s="25">
        <v>3</v>
      </c>
      <c r="V25" s="25">
        <v>9</v>
      </c>
      <c r="W25" s="25">
        <v>3</v>
      </c>
      <c r="X25" s="25">
        <v>0</v>
      </c>
      <c r="Y25" s="25">
        <v>8</v>
      </c>
      <c r="Z25" s="25">
        <v>20</v>
      </c>
      <c r="AA25" s="25">
        <v>0</v>
      </c>
      <c r="AB25" s="25">
        <v>8</v>
      </c>
      <c r="AC25" s="25">
        <v>17</v>
      </c>
      <c r="AD25" s="25">
        <v>6</v>
      </c>
      <c r="AE25" s="25">
        <v>0</v>
      </c>
      <c r="AF25" s="25">
        <v>9</v>
      </c>
      <c r="AG25" s="25">
        <v>26</v>
      </c>
      <c r="AH25" s="25">
        <v>2</v>
      </c>
      <c r="AI25" s="25">
        <v>12</v>
      </c>
      <c r="AJ25" s="25">
        <v>3</v>
      </c>
    </row>
    <row r="26" spans="1:36" ht="16.149999999999999" customHeight="1" x14ac:dyDescent="0.35">
      <c r="A26" s="14" t="s">
        <v>85</v>
      </c>
      <c r="B26" s="15">
        <v>21</v>
      </c>
      <c r="C26" s="16">
        <v>43969</v>
      </c>
      <c r="D26" s="21">
        <f>SUM(weekly_covid_deaths_council_area[[#This Row],[Aberdeen City]:[West Lothian]])</f>
        <v>230</v>
      </c>
      <c r="E26" s="25">
        <v>13</v>
      </c>
      <c r="F26" s="25">
        <v>3</v>
      </c>
      <c r="G26" s="25">
        <v>3</v>
      </c>
      <c r="H26" s="25">
        <v>2</v>
      </c>
      <c r="I26" s="25">
        <v>26</v>
      </c>
      <c r="J26" s="25">
        <v>2</v>
      </c>
      <c r="K26" s="25">
        <v>0</v>
      </c>
      <c r="L26" s="25">
        <v>13</v>
      </c>
      <c r="M26" s="25">
        <v>3</v>
      </c>
      <c r="N26" s="25">
        <v>18</v>
      </c>
      <c r="O26" s="25">
        <v>2</v>
      </c>
      <c r="P26" s="25">
        <v>5</v>
      </c>
      <c r="Q26" s="25">
        <v>8</v>
      </c>
      <c r="R26" s="25">
        <v>4</v>
      </c>
      <c r="S26" s="25">
        <v>32</v>
      </c>
      <c r="T26" s="25">
        <v>2</v>
      </c>
      <c r="U26" s="25">
        <v>3</v>
      </c>
      <c r="V26" s="25">
        <v>7</v>
      </c>
      <c r="W26" s="25">
        <v>1</v>
      </c>
      <c r="X26" s="25">
        <v>0</v>
      </c>
      <c r="Y26" s="25">
        <v>12</v>
      </c>
      <c r="Z26" s="25">
        <v>8</v>
      </c>
      <c r="AA26" s="25">
        <v>0</v>
      </c>
      <c r="AB26" s="25">
        <v>3</v>
      </c>
      <c r="AC26" s="25">
        <v>13</v>
      </c>
      <c r="AD26" s="25">
        <v>4</v>
      </c>
      <c r="AE26" s="25">
        <v>0</v>
      </c>
      <c r="AF26" s="25">
        <v>6</v>
      </c>
      <c r="AG26" s="25">
        <v>22</v>
      </c>
      <c r="AH26" s="25">
        <v>2</v>
      </c>
      <c r="AI26" s="25">
        <v>4</v>
      </c>
      <c r="AJ26" s="25">
        <v>9</v>
      </c>
    </row>
    <row r="27" spans="1:36" ht="16.149999999999999" customHeight="1" x14ac:dyDescent="0.35">
      <c r="A27" s="14" t="s">
        <v>85</v>
      </c>
      <c r="B27" s="15">
        <v>22</v>
      </c>
      <c r="C27" s="16">
        <v>43976</v>
      </c>
      <c r="D27" s="21">
        <f>SUM(weekly_covid_deaths_council_area[[#This Row],[Aberdeen City]:[West Lothian]])</f>
        <v>131</v>
      </c>
      <c r="E27" s="25">
        <v>3</v>
      </c>
      <c r="F27" s="25">
        <v>1</v>
      </c>
      <c r="G27" s="25">
        <v>4</v>
      </c>
      <c r="H27" s="25">
        <v>3</v>
      </c>
      <c r="I27" s="25">
        <v>13</v>
      </c>
      <c r="J27" s="25">
        <v>0</v>
      </c>
      <c r="K27" s="25">
        <v>0</v>
      </c>
      <c r="L27" s="25">
        <v>8</v>
      </c>
      <c r="M27" s="25">
        <v>2</v>
      </c>
      <c r="N27" s="25">
        <v>6</v>
      </c>
      <c r="O27" s="25">
        <v>1</v>
      </c>
      <c r="P27" s="25">
        <v>1</v>
      </c>
      <c r="Q27" s="25">
        <v>3</v>
      </c>
      <c r="R27" s="25">
        <v>8</v>
      </c>
      <c r="S27" s="25">
        <v>13</v>
      </c>
      <c r="T27" s="25">
        <v>1</v>
      </c>
      <c r="U27" s="25">
        <v>1</v>
      </c>
      <c r="V27" s="25">
        <v>4</v>
      </c>
      <c r="W27" s="25">
        <v>5</v>
      </c>
      <c r="X27" s="25">
        <v>0</v>
      </c>
      <c r="Y27" s="25">
        <v>6</v>
      </c>
      <c r="Z27" s="25">
        <v>14</v>
      </c>
      <c r="AA27" s="25">
        <v>0</v>
      </c>
      <c r="AB27" s="25">
        <v>1</v>
      </c>
      <c r="AC27" s="25">
        <v>4</v>
      </c>
      <c r="AD27" s="25">
        <v>4</v>
      </c>
      <c r="AE27" s="25">
        <v>0</v>
      </c>
      <c r="AF27" s="25">
        <v>6</v>
      </c>
      <c r="AG27" s="25">
        <v>8</v>
      </c>
      <c r="AH27" s="25">
        <v>0</v>
      </c>
      <c r="AI27" s="25">
        <v>5</v>
      </c>
      <c r="AJ27" s="25">
        <v>6</v>
      </c>
    </row>
    <row r="28" spans="1:36" ht="16.149999999999999" customHeight="1" x14ac:dyDescent="0.35">
      <c r="A28" s="14" t="s">
        <v>85</v>
      </c>
      <c r="B28" s="15">
        <v>23</v>
      </c>
      <c r="C28" s="16">
        <v>43983</v>
      </c>
      <c r="D28" s="21">
        <f>SUM(weekly_covid_deaths_council_area[[#This Row],[Aberdeen City]:[West Lothian]])</f>
        <v>91</v>
      </c>
      <c r="E28" s="25">
        <v>6</v>
      </c>
      <c r="F28" s="25">
        <v>0</v>
      </c>
      <c r="G28" s="25">
        <v>6</v>
      </c>
      <c r="H28" s="25">
        <v>0</v>
      </c>
      <c r="I28" s="25">
        <v>8</v>
      </c>
      <c r="J28" s="25">
        <v>0</v>
      </c>
      <c r="K28" s="25">
        <v>0</v>
      </c>
      <c r="L28" s="25">
        <v>3</v>
      </c>
      <c r="M28" s="25">
        <v>2</v>
      </c>
      <c r="N28" s="25">
        <v>6</v>
      </c>
      <c r="O28" s="25">
        <v>1</v>
      </c>
      <c r="P28" s="25">
        <v>3</v>
      </c>
      <c r="Q28" s="25">
        <v>3</v>
      </c>
      <c r="R28" s="25">
        <v>3</v>
      </c>
      <c r="S28" s="25">
        <v>5</v>
      </c>
      <c r="T28" s="25">
        <v>2</v>
      </c>
      <c r="U28" s="25">
        <v>2</v>
      </c>
      <c r="V28" s="25">
        <v>2</v>
      </c>
      <c r="W28" s="25">
        <v>0</v>
      </c>
      <c r="X28" s="25">
        <v>0</v>
      </c>
      <c r="Y28" s="25">
        <v>3</v>
      </c>
      <c r="Z28" s="25">
        <v>6</v>
      </c>
      <c r="AA28" s="25">
        <v>0</v>
      </c>
      <c r="AB28" s="25">
        <v>0</v>
      </c>
      <c r="AC28" s="25">
        <v>4</v>
      </c>
      <c r="AD28" s="25">
        <v>6</v>
      </c>
      <c r="AE28" s="25">
        <v>0</v>
      </c>
      <c r="AF28" s="25">
        <v>1</v>
      </c>
      <c r="AG28" s="25">
        <v>13</v>
      </c>
      <c r="AH28" s="25">
        <v>1</v>
      </c>
      <c r="AI28" s="25">
        <v>1</v>
      </c>
      <c r="AJ28" s="25">
        <v>4</v>
      </c>
    </row>
    <row r="29" spans="1:36" ht="16.149999999999999" customHeight="1" x14ac:dyDescent="0.35">
      <c r="A29" s="14" t="s">
        <v>85</v>
      </c>
      <c r="B29" s="15">
        <v>24</v>
      </c>
      <c r="C29" s="16">
        <v>43990</v>
      </c>
      <c r="D29" s="21">
        <f>SUM(weekly_covid_deaths_council_area[[#This Row],[Aberdeen City]:[West Lothian]])</f>
        <v>67</v>
      </c>
      <c r="E29" s="25">
        <v>5</v>
      </c>
      <c r="F29" s="25">
        <v>0</v>
      </c>
      <c r="G29" s="25">
        <v>3</v>
      </c>
      <c r="H29" s="25">
        <v>0</v>
      </c>
      <c r="I29" s="25">
        <v>6</v>
      </c>
      <c r="J29" s="25">
        <v>2</v>
      </c>
      <c r="K29" s="25">
        <v>0</v>
      </c>
      <c r="L29" s="25">
        <v>4</v>
      </c>
      <c r="M29" s="25">
        <v>3</v>
      </c>
      <c r="N29" s="25">
        <v>2</v>
      </c>
      <c r="O29" s="25">
        <v>1</v>
      </c>
      <c r="P29" s="25">
        <v>1</v>
      </c>
      <c r="Q29" s="25">
        <v>2</v>
      </c>
      <c r="R29" s="25">
        <v>3</v>
      </c>
      <c r="S29" s="25">
        <v>10</v>
      </c>
      <c r="T29" s="25">
        <v>0</v>
      </c>
      <c r="U29" s="25">
        <v>0</v>
      </c>
      <c r="V29" s="25">
        <v>0</v>
      </c>
      <c r="W29" s="25">
        <v>1</v>
      </c>
      <c r="X29" s="25">
        <v>0</v>
      </c>
      <c r="Y29" s="25">
        <v>1</v>
      </c>
      <c r="Z29" s="25">
        <v>3</v>
      </c>
      <c r="AA29" s="25">
        <v>0</v>
      </c>
      <c r="AB29" s="25">
        <v>2</v>
      </c>
      <c r="AC29" s="25">
        <v>3</v>
      </c>
      <c r="AD29" s="25">
        <v>3</v>
      </c>
      <c r="AE29" s="25">
        <v>0</v>
      </c>
      <c r="AF29" s="25">
        <v>2</v>
      </c>
      <c r="AG29" s="25">
        <v>5</v>
      </c>
      <c r="AH29" s="25">
        <v>1</v>
      </c>
      <c r="AI29" s="25">
        <v>1</v>
      </c>
      <c r="AJ29" s="25">
        <v>3</v>
      </c>
    </row>
    <row r="30" spans="1:36" ht="16.149999999999999" customHeight="1" x14ac:dyDescent="0.35">
      <c r="A30" s="14" t="s">
        <v>85</v>
      </c>
      <c r="B30" s="15">
        <v>25</v>
      </c>
      <c r="C30" s="16">
        <v>43997</v>
      </c>
      <c r="D30" s="21">
        <f>SUM(weekly_covid_deaths_council_area[[#This Row],[Aberdeen City]:[West Lothian]])</f>
        <v>49</v>
      </c>
      <c r="E30" s="25">
        <v>1</v>
      </c>
      <c r="F30" s="25">
        <v>3</v>
      </c>
      <c r="G30" s="25">
        <v>1</v>
      </c>
      <c r="H30" s="25">
        <v>0</v>
      </c>
      <c r="I30" s="25">
        <v>6</v>
      </c>
      <c r="J30" s="25">
        <v>2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2</v>
      </c>
      <c r="R30" s="25">
        <v>2</v>
      </c>
      <c r="S30" s="25">
        <v>9</v>
      </c>
      <c r="T30" s="25">
        <v>0</v>
      </c>
      <c r="U30" s="25">
        <v>2</v>
      </c>
      <c r="V30" s="25">
        <v>1</v>
      </c>
      <c r="W30" s="25">
        <v>0</v>
      </c>
      <c r="X30" s="25">
        <v>0</v>
      </c>
      <c r="Y30" s="25">
        <v>0</v>
      </c>
      <c r="Z30" s="25">
        <v>3</v>
      </c>
      <c r="AA30" s="25">
        <v>0</v>
      </c>
      <c r="AB30" s="25">
        <v>0</v>
      </c>
      <c r="AC30" s="25">
        <v>3</v>
      </c>
      <c r="AD30" s="25">
        <v>1</v>
      </c>
      <c r="AE30" s="25">
        <v>0</v>
      </c>
      <c r="AF30" s="25">
        <v>4</v>
      </c>
      <c r="AG30" s="25">
        <v>5</v>
      </c>
      <c r="AH30" s="25">
        <v>0</v>
      </c>
      <c r="AI30" s="25">
        <v>0</v>
      </c>
      <c r="AJ30" s="25">
        <v>2</v>
      </c>
    </row>
    <row r="31" spans="1:36" ht="16.149999999999999" customHeight="1" x14ac:dyDescent="0.35">
      <c r="A31" s="14" t="s">
        <v>85</v>
      </c>
      <c r="B31" s="15">
        <v>26</v>
      </c>
      <c r="C31" s="16">
        <v>44004</v>
      </c>
      <c r="D31" s="21">
        <f>SUM(weekly_covid_deaths_council_area[[#This Row],[Aberdeen City]:[West Lothian]])</f>
        <v>36</v>
      </c>
      <c r="E31" s="25">
        <v>1</v>
      </c>
      <c r="F31" s="25">
        <v>2</v>
      </c>
      <c r="G31" s="25">
        <v>0</v>
      </c>
      <c r="H31" s="25">
        <v>0</v>
      </c>
      <c r="I31" s="25">
        <v>2</v>
      </c>
      <c r="J31" s="25">
        <v>0</v>
      </c>
      <c r="K31" s="25">
        <v>0</v>
      </c>
      <c r="L31" s="25">
        <v>1</v>
      </c>
      <c r="M31" s="25">
        <v>0</v>
      </c>
      <c r="N31" s="25">
        <v>1</v>
      </c>
      <c r="O31" s="25">
        <v>0</v>
      </c>
      <c r="P31" s="25">
        <v>0</v>
      </c>
      <c r="Q31" s="25">
        <v>3</v>
      </c>
      <c r="R31" s="25">
        <v>3</v>
      </c>
      <c r="S31" s="25">
        <v>3</v>
      </c>
      <c r="T31" s="25">
        <v>0</v>
      </c>
      <c r="U31" s="25">
        <v>2</v>
      </c>
      <c r="V31" s="25">
        <v>0</v>
      </c>
      <c r="W31" s="25">
        <v>0</v>
      </c>
      <c r="X31" s="25">
        <v>0</v>
      </c>
      <c r="Y31" s="25">
        <v>1</v>
      </c>
      <c r="Z31" s="25">
        <v>4</v>
      </c>
      <c r="AA31" s="25">
        <v>0</v>
      </c>
      <c r="AB31" s="25">
        <v>1</v>
      </c>
      <c r="AC31" s="25">
        <v>1</v>
      </c>
      <c r="AD31" s="25">
        <v>0</v>
      </c>
      <c r="AE31" s="25">
        <v>0</v>
      </c>
      <c r="AF31" s="25">
        <v>0</v>
      </c>
      <c r="AG31" s="25">
        <v>8</v>
      </c>
      <c r="AH31" s="25">
        <v>0</v>
      </c>
      <c r="AI31" s="25">
        <v>1</v>
      </c>
      <c r="AJ31" s="25">
        <v>2</v>
      </c>
    </row>
    <row r="32" spans="1:36" ht="16.149999999999999" customHeight="1" x14ac:dyDescent="0.35">
      <c r="A32" s="14" t="s">
        <v>85</v>
      </c>
      <c r="B32" s="15">
        <v>27</v>
      </c>
      <c r="C32" s="16">
        <v>44011</v>
      </c>
      <c r="D32" s="21">
        <f>SUM(weekly_covid_deaths_council_area[[#This Row],[Aberdeen City]:[West Lothian]])</f>
        <v>19</v>
      </c>
      <c r="E32" s="25">
        <v>0</v>
      </c>
      <c r="F32" s="25">
        <v>0</v>
      </c>
      <c r="G32" s="25">
        <v>1</v>
      </c>
      <c r="H32" s="25">
        <v>0</v>
      </c>
      <c r="I32" s="25">
        <v>1</v>
      </c>
      <c r="J32" s="25">
        <v>1</v>
      </c>
      <c r="K32" s="25">
        <v>0</v>
      </c>
      <c r="L32" s="25">
        <v>2</v>
      </c>
      <c r="M32" s="25">
        <v>0</v>
      </c>
      <c r="N32" s="25">
        <v>0</v>
      </c>
      <c r="O32" s="25">
        <v>1</v>
      </c>
      <c r="P32" s="25">
        <v>0</v>
      </c>
      <c r="Q32" s="25">
        <v>0</v>
      </c>
      <c r="R32" s="25">
        <v>0</v>
      </c>
      <c r="S32" s="25">
        <v>2</v>
      </c>
      <c r="T32" s="25">
        <v>0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1</v>
      </c>
      <c r="AD32" s="25">
        <v>1</v>
      </c>
      <c r="AE32" s="25">
        <v>0</v>
      </c>
      <c r="AF32" s="25">
        <v>0</v>
      </c>
      <c r="AG32" s="25">
        <v>3</v>
      </c>
      <c r="AH32" s="25">
        <v>0</v>
      </c>
      <c r="AI32" s="25">
        <v>1</v>
      </c>
      <c r="AJ32" s="25">
        <v>4</v>
      </c>
    </row>
    <row r="33" spans="1:36" ht="16.149999999999999" customHeight="1" x14ac:dyDescent="0.35">
      <c r="A33" s="14" t="s">
        <v>85</v>
      </c>
      <c r="B33" s="15">
        <v>28</v>
      </c>
      <c r="C33" s="16">
        <v>44018</v>
      </c>
      <c r="D33" s="21">
        <f>SUM(weekly_covid_deaths_council_area[[#This Row],[Aberdeen City]:[West Lothian]])</f>
        <v>13</v>
      </c>
      <c r="E33" s="25">
        <v>0</v>
      </c>
      <c r="F33" s="25">
        <v>1</v>
      </c>
      <c r="G33" s="25">
        <v>0</v>
      </c>
      <c r="H33" s="25">
        <v>0</v>
      </c>
      <c r="I33" s="25">
        <v>3</v>
      </c>
      <c r="J33" s="25">
        <v>0</v>
      </c>
      <c r="K33" s="25">
        <v>0</v>
      </c>
      <c r="L33" s="25">
        <v>1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1</v>
      </c>
      <c r="S33" s="25">
        <v>1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1</v>
      </c>
      <c r="AA33" s="25">
        <v>0</v>
      </c>
      <c r="AB33" s="25">
        <v>1</v>
      </c>
      <c r="AC33" s="25">
        <v>0</v>
      </c>
      <c r="AD33" s="25">
        <v>1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2</v>
      </c>
    </row>
    <row r="34" spans="1:36" ht="16.149999999999999" customHeight="1" x14ac:dyDescent="0.35">
      <c r="A34" s="14" t="s">
        <v>85</v>
      </c>
      <c r="B34" s="15">
        <v>29</v>
      </c>
      <c r="C34" s="16">
        <v>44025</v>
      </c>
      <c r="D34" s="21">
        <f>SUM(weekly_covid_deaths_council_area[[#This Row],[Aberdeen City]:[West Lothian]])</f>
        <v>6</v>
      </c>
      <c r="E34" s="25">
        <v>1</v>
      </c>
      <c r="F34" s="25">
        <v>0</v>
      </c>
      <c r="G34" s="25">
        <v>0</v>
      </c>
      <c r="H34" s="25">
        <v>0</v>
      </c>
      <c r="I34" s="25">
        <v>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0</v>
      </c>
      <c r="Q34" s="25">
        <v>2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1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</row>
    <row r="35" spans="1:36" ht="16.149999999999999" customHeight="1" x14ac:dyDescent="0.35">
      <c r="A35" s="14" t="s">
        <v>85</v>
      </c>
      <c r="B35" s="15">
        <v>30</v>
      </c>
      <c r="C35" s="16">
        <v>44032</v>
      </c>
      <c r="D35" s="21">
        <f>SUM(weekly_covid_deaths_council_area[[#This Row],[Aberdeen City]:[West Lothian]])</f>
        <v>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2</v>
      </c>
      <c r="S35" s="25">
        <v>1</v>
      </c>
      <c r="T35" s="25">
        <v>0</v>
      </c>
      <c r="U35" s="25">
        <v>2</v>
      </c>
      <c r="V35" s="25">
        <v>0</v>
      </c>
      <c r="W35" s="25">
        <v>0</v>
      </c>
      <c r="X35" s="25">
        <v>0</v>
      </c>
      <c r="Y35" s="25">
        <v>1</v>
      </c>
      <c r="Z35" s="25">
        <v>1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1</v>
      </c>
      <c r="AH35" s="25">
        <v>0</v>
      </c>
      <c r="AI35" s="25">
        <v>0</v>
      </c>
      <c r="AJ35" s="25">
        <v>0</v>
      </c>
    </row>
    <row r="36" spans="1:36" ht="16.149999999999999" customHeight="1" x14ac:dyDescent="0.35">
      <c r="A36" s="14" t="s">
        <v>85</v>
      </c>
      <c r="B36" s="15">
        <v>31</v>
      </c>
      <c r="C36" s="16">
        <v>44039</v>
      </c>
      <c r="D36" s="21">
        <f>SUM(weekly_covid_deaths_council_area[[#This Row],[Aberdeen City]:[West Lothian]])</f>
        <v>6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2</v>
      </c>
      <c r="R36" s="25">
        <v>0</v>
      </c>
      <c r="S36" s="25">
        <v>0</v>
      </c>
      <c r="T36" s="25">
        <v>0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1</v>
      </c>
      <c r="AH36" s="25">
        <v>0</v>
      </c>
      <c r="AI36" s="25">
        <v>0</v>
      </c>
      <c r="AJ36" s="25">
        <v>0</v>
      </c>
    </row>
    <row r="37" spans="1:36" ht="16.149999999999999" customHeight="1" x14ac:dyDescent="0.35">
      <c r="A37" s="14" t="s">
        <v>85</v>
      </c>
      <c r="B37" s="15">
        <v>32</v>
      </c>
      <c r="C37" s="16">
        <v>44046</v>
      </c>
      <c r="D37" s="21">
        <f>SUM(weekly_covid_deaths_council_area[[#This Row],[Aberdeen City]:[West Lothian]])</f>
        <v>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</v>
      </c>
      <c r="M37" s="25">
        <v>0</v>
      </c>
      <c r="N37" s="25">
        <v>0</v>
      </c>
      <c r="O37" s="25">
        <v>0</v>
      </c>
      <c r="P37" s="25">
        <v>0</v>
      </c>
      <c r="Q37" s="25">
        <v>1</v>
      </c>
      <c r="R37" s="25">
        <v>0</v>
      </c>
      <c r="S37" s="25">
        <v>2</v>
      </c>
      <c r="T37" s="25">
        <v>0</v>
      </c>
      <c r="U37" s="25">
        <v>1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</row>
    <row r="38" spans="1:36" ht="16.149999999999999" customHeight="1" x14ac:dyDescent="0.35">
      <c r="A38" s="14" t="s">
        <v>85</v>
      </c>
      <c r="B38" s="15">
        <v>33</v>
      </c>
      <c r="C38" s="16">
        <v>44053</v>
      </c>
      <c r="D38" s="21">
        <f>SUM(weekly_covid_deaths_council_area[[#This Row],[Aberdeen City]:[West Lothian]])</f>
        <v>3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1</v>
      </c>
      <c r="V38" s="25">
        <v>2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</row>
    <row r="39" spans="1:36" ht="16.149999999999999" customHeight="1" x14ac:dyDescent="0.35">
      <c r="A39" s="14" t="s">
        <v>85</v>
      </c>
      <c r="B39" s="15">
        <v>34</v>
      </c>
      <c r="C39" s="16">
        <v>44060</v>
      </c>
      <c r="D39" s="21">
        <f>SUM(weekly_covid_deaths_council_area[[#This Row],[Aberdeen City]:[West Lothian]])</f>
        <v>5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1</v>
      </c>
      <c r="X39" s="25">
        <v>0</v>
      </c>
      <c r="Y39" s="25">
        <v>0</v>
      </c>
      <c r="Z39" s="25">
        <v>1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1</v>
      </c>
      <c r="AJ39" s="25">
        <v>0</v>
      </c>
    </row>
    <row r="40" spans="1:36" ht="16.149999999999999" customHeight="1" x14ac:dyDescent="0.35">
      <c r="A40" s="14" t="s">
        <v>85</v>
      </c>
      <c r="B40" s="15">
        <v>35</v>
      </c>
      <c r="C40" s="16">
        <v>44067</v>
      </c>
      <c r="D40" s="21">
        <f>SUM(weekly_covid_deaths_council_area[[#This Row],[Aberdeen City]:[West Lothian]])</f>
        <v>7</v>
      </c>
      <c r="E40" s="25">
        <v>0</v>
      </c>
      <c r="F40" s="25">
        <v>1</v>
      </c>
      <c r="G40" s="25">
        <v>0</v>
      </c>
      <c r="H40" s="25">
        <v>0</v>
      </c>
      <c r="I40" s="25">
        <v>0</v>
      </c>
      <c r="J40" s="25">
        <v>0</v>
      </c>
      <c r="K40" s="25">
        <v>1</v>
      </c>
      <c r="L40" s="25">
        <v>0</v>
      </c>
      <c r="M40" s="25">
        <v>0</v>
      </c>
      <c r="N40" s="25">
        <v>1</v>
      </c>
      <c r="O40" s="25">
        <v>0</v>
      </c>
      <c r="P40" s="25">
        <v>0</v>
      </c>
      <c r="Q40" s="25">
        <v>0</v>
      </c>
      <c r="R40" s="25">
        <v>0</v>
      </c>
      <c r="S40" s="25">
        <v>1</v>
      </c>
      <c r="T40" s="25">
        <v>0</v>
      </c>
      <c r="U40" s="25">
        <v>0</v>
      </c>
      <c r="V40" s="25">
        <v>1</v>
      </c>
      <c r="W40" s="25">
        <v>0</v>
      </c>
      <c r="X40" s="25">
        <v>0</v>
      </c>
      <c r="Y40" s="25">
        <v>0</v>
      </c>
      <c r="Z40" s="25">
        <v>1</v>
      </c>
      <c r="AA40" s="25">
        <v>0</v>
      </c>
      <c r="AB40" s="25">
        <v>0</v>
      </c>
      <c r="AC40" s="25">
        <v>0</v>
      </c>
      <c r="AD40" s="25">
        <v>1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</row>
    <row r="41" spans="1:36" ht="16.149999999999999" customHeight="1" x14ac:dyDescent="0.35">
      <c r="A41" s="14" t="s">
        <v>85</v>
      </c>
      <c r="B41" s="15">
        <v>36</v>
      </c>
      <c r="C41" s="16">
        <v>44074</v>
      </c>
      <c r="D41" s="21">
        <f>SUM(weekly_covid_deaths_council_area[[#This Row],[Aberdeen City]:[West Lothian]])</f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1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</row>
    <row r="42" spans="1:36" ht="16.149999999999999" customHeight="1" x14ac:dyDescent="0.35">
      <c r="A42" s="14" t="s">
        <v>85</v>
      </c>
      <c r="B42" s="15">
        <v>37</v>
      </c>
      <c r="C42" s="16">
        <v>44081</v>
      </c>
      <c r="D42" s="21">
        <f>SUM(weekly_covid_deaths_council_area[[#This Row],[Aberdeen City]:[West Lothian]])</f>
        <v>5</v>
      </c>
      <c r="E42" s="25">
        <v>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1</v>
      </c>
      <c r="S42" s="25">
        <v>2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1</v>
      </c>
      <c r="AJ42" s="25">
        <v>0</v>
      </c>
    </row>
    <row r="43" spans="1:36" ht="16.149999999999999" customHeight="1" x14ac:dyDescent="0.35">
      <c r="A43" s="14" t="s">
        <v>85</v>
      </c>
      <c r="B43" s="15">
        <v>38</v>
      </c>
      <c r="C43" s="16">
        <v>44088</v>
      </c>
      <c r="D43" s="21">
        <f>SUM(weekly_covid_deaths_council_area[[#This Row],[Aberdeen City]:[West Lothian]])</f>
        <v>11</v>
      </c>
      <c r="E43" s="25">
        <v>1</v>
      </c>
      <c r="F43" s="25">
        <v>0</v>
      </c>
      <c r="G43" s="25">
        <v>0</v>
      </c>
      <c r="H43" s="25">
        <v>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2</v>
      </c>
      <c r="Q43" s="25">
        <v>0</v>
      </c>
      <c r="R43" s="25">
        <v>1</v>
      </c>
      <c r="S43" s="25">
        <v>1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1</v>
      </c>
      <c r="Z43" s="25">
        <v>4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</row>
    <row r="44" spans="1:36" ht="16.149999999999999" customHeight="1" x14ac:dyDescent="0.35">
      <c r="A44" s="14" t="s">
        <v>85</v>
      </c>
      <c r="B44" s="15">
        <v>39</v>
      </c>
      <c r="C44" s="16">
        <v>44095</v>
      </c>
      <c r="D44" s="21">
        <f>SUM(weekly_covid_deaths_council_area[[#This Row],[Aberdeen City]:[West Lothian]])</f>
        <v>10</v>
      </c>
      <c r="E44" s="25">
        <v>0</v>
      </c>
      <c r="F44" s="25">
        <v>0</v>
      </c>
      <c r="G44" s="25">
        <v>1</v>
      </c>
      <c r="H44" s="25">
        <v>1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</v>
      </c>
      <c r="O44" s="25">
        <v>0</v>
      </c>
      <c r="P44" s="25">
        <v>1</v>
      </c>
      <c r="Q44" s="25">
        <v>1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2</v>
      </c>
      <c r="AA44" s="25">
        <v>0</v>
      </c>
      <c r="AB44" s="25">
        <v>0</v>
      </c>
      <c r="AC44" s="25">
        <v>1</v>
      </c>
      <c r="AD44" s="25">
        <v>0</v>
      </c>
      <c r="AE44" s="25">
        <v>0</v>
      </c>
      <c r="AF44" s="25">
        <v>0</v>
      </c>
      <c r="AG44" s="25">
        <v>1</v>
      </c>
      <c r="AH44" s="25">
        <v>0</v>
      </c>
      <c r="AI44" s="25">
        <v>0</v>
      </c>
      <c r="AJ44" s="25">
        <v>0</v>
      </c>
    </row>
    <row r="45" spans="1:36" ht="16.149999999999999" customHeight="1" x14ac:dyDescent="0.35">
      <c r="A45" s="14" t="s">
        <v>85</v>
      </c>
      <c r="B45" s="15">
        <v>40</v>
      </c>
      <c r="C45" s="16">
        <v>44102</v>
      </c>
      <c r="D45" s="21">
        <f>SUM(weekly_covid_deaths_council_area[[#This Row],[Aberdeen City]:[West Lothian]])</f>
        <v>20</v>
      </c>
      <c r="E45" s="25">
        <v>0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25">
        <v>1</v>
      </c>
      <c r="L45" s="25">
        <v>0</v>
      </c>
      <c r="M45" s="25">
        <v>1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5">
        <v>5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5</v>
      </c>
      <c r="AA45" s="25">
        <v>0</v>
      </c>
      <c r="AB45" s="25">
        <v>0</v>
      </c>
      <c r="AC45" s="25">
        <v>0</v>
      </c>
      <c r="AD45" s="25">
        <v>2</v>
      </c>
      <c r="AE45" s="25">
        <v>0</v>
      </c>
      <c r="AF45" s="25">
        <v>0</v>
      </c>
      <c r="AG45" s="25">
        <v>0</v>
      </c>
      <c r="AH45" s="25">
        <v>0</v>
      </c>
      <c r="AI45" s="25">
        <v>1</v>
      </c>
      <c r="AJ45" s="25">
        <v>3</v>
      </c>
    </row>
    <row r="46" spans="1:36" ht="16.149999999999999" customHeight="1" x14ac:dyDescent="0.35">
      <c r="A46" s="14" t="s">
        <v>85</v>
      </c>
      <c r="B46" s="15">
        <v>41</v>
      </c>
      <c r="C46" s="16">
        <v>44109</v>
      </c>
      <c r="D46" s="21">
        <f>SUM(weekly_covid_deaths_council_area[[#This Row],[Aberdeen City]:[West Lothian]])</f>
        <v>25</v>
      </c>
      <c r="E46" s="25">
        <v>0</v>
      </c>
      <c r="F46" s="25">
        <v>0</v>
      </c>
      <c r="G46" s="25">
        <v>0</v>
      </c>
      <c r="H46" s="25">
        <v>0</v>
      </c>
      <c r="I46" s="25">
        <v>3</v>
      </c>
      <c r="J46" s="25">
        <v>0</v>
      </c>
      <c r="K46" s="25">
        <v>0</v>
      </c>
      <c r="L46" s="25">
        <v>0</v>
      </c>
      <c r="M46" s="25">
        <v>1</v>
      </c>
      <c r="N46" s="25">
        <v>0</v>
      </c>
      <c r="O46" s="25">
        <v>0</v>
      </c>
      <c r="P46" s="25">
        <v>1</v>
      </c>
      <c r="Q46" s="25">
        <v>0</v>
      </c>
      <c r="R46" s="25">
        <v>0</v>
      </c>
      <c r="S46" s="25">
        <v>6</v>
      </c>
      <c r="T46" s="25">
        <v>0</v>
      </c>
      <c r="U46" s="25">
        <v>0</v>
      </c>
      <c r="V46" s="25">
        <v>1</v>
      </c>
      <c r="W46" s="25">
        <v>0</v>
      </c>
      <c r="X46" s="25">
        <v>0</v>
      </c>
      <c r="Y46" s="25">
        <v>0</v>
      </c>
      <c r="Z46" s="25">
        <v>8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1</v>
      </c>
      <c r="AH46" s="25">
        <v>0</v>
      </c>
      <c r="AI46" s="25">
        <v>0</v>
      </c>
      <c r="AJ46" s="25">
        <v>4</v>
      </c>
    </row>
    <row r="47" spans="1:36" ht="16.149999999999999" customHeight="1" x14ac:dyDescent="0.35">
      <c r="A47" s="14" t="s">
        <v>85</v>
      </c>
      <c r="B47" s="15">
        <v>42</v>
      </c>
      <c r="C47" s="16">
        <v>44116</v>
      </c>
      <c r="D47" s="21">
        <f>SUM(weekly_covid_deaths_council_area[[#This Row],[Aberdeen City]:[West Lothian]])</f>
        <v>76</v>
      </c>
      <c r="E47" s="25">
        <v>1</v>
      </c>
      <c r="F47" s="25">
        <v>0</v>
      </c>
      <c r="G47" s="25">
        <v>0</v>
      </c>
      <c r="H47" s="25">
        <v>1</v>
      </c>
      <c r="I47" s="25">
        <v>5</v>
      </c>
      <c r="J47" s="25">
        <v>0</v>
      </c>
      <c r="K47" s="25">
        <v>1</v>
      </c>
      <c r="L47" s="25">
        <v>1</v>
      </c>
      <c r="M47" s="25">
        <v>6</v>
      </c>
      <c r="N47" s="25">
        <v>3</v>
      </c>
      <c r="O47" s="25">
        <v>1</v>
      </c>
      <c r="P47" s="25">
        <v>2</v>
      </c>
      <c r="Q47" s="25">
        <v>2</v>
      </c>
      <c r="R47" s="25">
        <v>2</v>
      </c>
      <c r="S47" s="25">
        <v>18</v>
      </c>
      <c r="T47" s="25">
        <v>0</v>
      </c>
      <c r="U47" s="25">
        <v>0</v>
      </c>
      <c r="V47" s="25">
        <v>0</v>
      </c>
      <c r="W47" s="25">
        <v>0</v>
      </c>
      <c r="X47" s="25">
        <v>1</v>
      </c>
      <c r="Y47" s="25">
        <v>1</v>
      </c>
      <c r="Z47" s="25">
        <v>5</v>
      </c>
      <c r="AA47" s="25">
        <v>0</v>
      </c>
      <c r="AB47" s="25">
        <v>1</v>
      </c>
      <c r="AC47" s="25">
        <v>3</v>
      </c>
      <c r="AD47" s="25">
        <v>0</v>
      </c>
      <c r="AE47" s="25">
        <v>0</v>
      </c>
      <c r="AF47" s="25">
        <v>3</v>
      </c>
      <c r="AG47" s="25">
        <v>3</v>
      </c>
      <c r="AH47" s="25">
        <v>0</v>
      </c>
      <c r="AI47" s="25">
        <v>5</v>
      </c>
      <c r="AJ47" s="25">
        <v>11</v>
      </c>
    </row>
    <row r="48" spans="1:36" ht="16.149999999999999" customHeight="1" x14ac:dyDescent="0.35">
      <c r="A48" s="14" t="s">
        <v>85</v>
      </c>
      <c r="B48" s="15">
        <v>43</v>
      </c>
      <c r="C48" s="16">
        <v>44123</v>
      </c>
      <c r="D48" s="21">
        <f>SUM(weekly_covid_deaths_council_area[[#This Row],[Aberdeen City]:[West Lothian]])</f>
        <v>107</v>
      </c>
      <c r="E48" s="25">
        <v>3</v>
      </c>
      <c r="F48" s="25">
        <v>1</v>
      </c>
      <c r="G48" s="25">
        <v>2</v>
      </c>
      <c r="H48" s="25">
        <v>2</v>
      </c>
      <c r="I48" s="25">
        <v>6</v>
      </c>
      <c r="J48" s="25">
        <v>0</v>
      </c>
      <c r="K48" s="25">
        <v>4</v>
      </c>
      <c r="L48" s="25">
        <v>1</v>
      </c>
      <c r="M48" s="25">
        <v>4</v>
      </c>
      <c r="N48" s="25">
        <v>4</v>
      </c>
      <c r="O48" s="25">
        <v>1</v>
      </c>
      <c r="P48" s="25">
        <v>3</v>
      </c>
      <c r="Q48" s="25">
        <v>1</v>
      </c>
      <c r="R48" s="25">
        <v>1</v>
      </c>
      <c r="S48" s="25">
        <v>30</v>
      </c>
      <c r="T48" s="25">
        <v>1</v>
      </c>
      <c r="U48" s="25">
        <v>0</v>
      </c>
      <c r="V48" s="25">
        <v>1</v>
      </c>
      <c r="W48" s="25">
        <v>1</v>
      </c>
      <c r="X48" s="25">
        <v>0</v>
      </c>
      <c r="Y48" s="25">
        <v>4</v>
      </c>
      <c r="Z48" s="25">
        <v>6</v>
      </c>
      <c r="AA48" s="25">
        <v>0</v>
      </c>
      <c r="AB48" s="25">
        <v>0</v>
      </c>
      <c r="AC48" s="25">
        <v>6</v>
      </c>
      <c r="AD48" s="25">
        <v>1</v>
      </c>
      <c r="AE48" s="25">
        <v>0</v>
      </c>
      <c r="AF48" s="25">
        <v>1</v>
      </c>
      <c r="AG48" s="25">
        <v>14</v>
      </c>
      <c r="AH48" s="25">
        <v>1</v>
      </c>
      <c r="AI48" s="25">
        <v>2</v>
      </c>
      <c r="AJ48" s="25">
        <v>6</v>
      </c>
    </row>
    <row r="49" spans="1:36" ht="16.149999999999999" customHeight="1" x14ac:dyDescent="0.35">
      <c r="A49" s="14" t="s">
        <v>85</v>
      </c>
      <c r="B49" s="15">
        <v>44</v>
      </c>
      <c r="C49" s="16">
        <v>44130</v>
      </c>
      <c r="D49" s="21">
        <f>SUM(weekly_covid_deaths_council_area[[#This Row],[Aberdeen City]:[West Lothian]])</f>
        <v>168</v>
      </c>
      <c r="E49" s="25">
        <v>4</v>
      </c>
      <c r="F49" s="25">
        <v>1</v>
      </c>
      <c r="G49" s="25">
        <v>0</v>
      </c>
      <c r="H49" s="25">
        <v>0</v>
      </c>
      <c r="I49" s="25">
        <v>4</v>
      </c>
      <c r="J49" s="25">
        <v>0</v>
      </c>
      <c r="K49" s="25">
        <v>10</v>
      </c>
      <c r="L49" s="25">
        <v>4</v>
      </c>
      <c r="M49" s="25">
        <v>8</v>
      </c>
      <c r="N49" s="25">
        <v>5</v>
      </c>
      <c r="O49" s="25">
        <v>2</v>
      </c>
      <c r="P49" s="25">
        <v>2</v>
      </c>
      <c r="Q49" s="25">
        <v>2</v>
      </c>
      <c r="R49" s="25">
        <v>4</v>
      </c>
      <c r="S49" s="25">
        <v>34</v>
      </c>
      <c r="T49" s="25">
        <v>0</v>
      </c>
      <c r="U49" s="25">
        <v>0</v>
      </c>
      <c r="V49" s="25">
        <v>1</v>
      </c>
      <c r="W49" s="25">
        <v>0</v>
      </c>
      <c r="X49" s="25">
        <v>0</v>
      </c>
      <c r="Y49" s="25">
        <v>7</v>
      </c>
      <c r="Z49" s="25">
        <v>29</v>
      </c>
      <c r="AA49" s="25">
        <v>0</v>
      </c>
      <c r="AB49" s="25">
        <v>4</v>
      </c>
      <c r="AC49" s="25">
        <v>7</v>
      </c>
      <c r="AD49" s="25">
        <v>2</v>
      </c>
      <c r="AE49" s="25">
        <v>0</v>
      </c>
      <c r="AF49" s="25">
        <v>3</v>
      </c>
      <c r="AG49" s="25">
        <v>23</v>
      </c>
      <c r="AH49" s="25">
        <v>0</v>
      </c>
      <c r="AI49" s="25">
        <v>3</v>
      </c>
      <c r="AJ49" s="25">
        <v>9</v>
      </c>
    </row>
    <row r="50" spans="1:36" ht="16.149999999999999" customHeight="1" x14ac:dyDescent="0.35">
      <c r="A50" s="14" t="s">
        <v>85</v>
      </c>
      <c r="B50" s="15">
        <v>45</v>
      </c>
      <c r="C50" s="16">
        <v>44137</v>
      </c>
      <c r="D50" s="21">
        <f>SUM(weekly_covid_deaths_council_area[[#This Row],[Aberdeen City]:[West Lothian]])</f>
        <v>209</v>
      </c>
      <c r="E50" s="25">
        <v>1</v>
      </c>
      <c r="F50" s="25">
        <v>2</v>
      </c>
      <c r="G50" s="25">
        <v>2</v>
      </c>
      <c r="H50" s="25">
        <v>4</v>
      </c>
      <c r="I50" s="25">
        <v>12</v>
      </c>
      <c r="J50" s="25">
        <v>4</v>
      </c>
      <c r="K50" s="25">
        <v>2</v>
      </c>
      <c r="L50" s="25">
        <v>7</v>
      </c>
      <c r="M50" s="25">
        <v>8</v>
      </c>
      <c r="N50" s="25">
        <v>6</v>
      </c>
      <c r="O50" s="25">
        <v>0</v>
      </c>
      <c r="P50" s="25">
        <v>6</v>
      </c>
      <c r="Q50" s="25">
        <v>8</v>
      </c>
      <c r="R50" s="25">
        <v>1</v>
      </c>
      <c r="S50" s="25">
        <v>61</v>
      </c>
      <c r="T50" s="25">
        <v>1</v>
      </c>
      <c r="U50" s="25">
        <v>1</v>
      </c>
      <c r="V50" s="25">
        <v>1</v>
      </c>
      <c r="W50" s="25">
        <v>0</v>
      </c>
      <c r="X50" s="25">
        <v>0</v>
      </c>
      <c r="Y50" s="25">
        <v>6</v>
      </c>
      <c r="Z50" s="25">
        <v>20</v>
      </c>
      <c r="AA50" s="25">
        <v>0</v>
      </c>
      <c r="AB50" s="25">
        <v>3</v>
      </c>
      <c r="AC50" s="25">
        <v>8</v>
      </c>
      <c r="AD50" s="25">
        <v>1</v>
      </c>
      <c r="AE50" s="25">
        <v>0</v>
      </c>
      <c r="AF50" s="25">
        <v>8</v>
      </c>
      <c r="AG50" s="25">
        <v>23</v>
      </c>
      <c r="AH50" s="25">
        <v>3</v>
      </c>
      <c r="AI50" s="25">
        <v>4</v>
      </c>
      <c r="AJ50" s="25">
        <v>6</v>
      </c>
    </row>
    <row r="51" spans="1:36" ht="16.149999999999999" customHeight="1" x14ac:dyDescent="0.35">
      <c r="A51" s="14" t="s">
        <v>85</v>
      </c>
      <c r="B51" s="15">
        <v>46</v>
      </c>
      <c r="C51" s="16">
        <v>44144</v>
      </c>
      <c r="D51" s="21">
        <f>SUM(weekly_covid_deaths_council_area[[#This Row],[Aberdeen City]:[West Lothian]])</f>
        <v>280</v>
      </c>
      <c r="E51" s="25">
        <v>3</v>
      </c>
      <c r="F51" s="25">
        <v>1</v>
      </c>
      <c r="G51" s="25">
        <v>3</v>
      </c>
      <c r="H51" s="25">
        <v>0</v>
      </c>
      <c r="I51" s="25">
        <v>8</v>
      </c>
      <c r="J51" s="25">
        <v>0</v>
      </c>
      <c r="K51" s="25">
        <v>3</v>
      </c>
      <c r="L51" s="25">
        <v>7</v>
      </c>
      <c r="M51" s="25">
        <v>9</v>
      </c>
      <c r="N51" s="25">
        <v>15</v>
      </c>
      <c r="O51" s="25">
        <v>1</v>
      </c>
      <c r="P51" s="25">
        <v>13</v>
      </c>
      <c r="Q51" s="25">
        <v>9</v>
      </c>
      <c r="R51" s="25">
        <v>10</v>
      </c>
      <c r="S51" s="25">
        <v>64</v>
      </c>
      <c r="T51" s="25">
        <v>0</v>
      </c>
      <c r="U51" s="25">
        <v>1</v>
      </c>
      <c r="V51" s="25">
        <v>3</v>
      </c>
      <c r="W51" s="25">
        <v>0</v>
      </c>
      <c r="X51" s="25">
        <v>0</v>
      </c>
      <c r="Y51" s="25">
        <v>13</v>
      </c>
      <c r="Z51" s="25">
        <v>32</v>
      </c>
      <c r="AA51" s="25">
        <v>1</v>
      </c>
      <c r="AB51" s="25">
        <v>3</v>
      </c>
      <c r="AC51" s="25">
        <v>7</v>
      </c>
      <c r="AD51" s="25">
        <v>2</v>
      </c>
      <c r="AE51" s="25">
        <v>1</v>
      </c>
      <c r="AF51" s="25">
        <v>7</v>
      </c>
      <c r="AG51" s="25">
        <v>32</v>
      </c>
      <c r="AH51" s="25">
        <v>7</v>
      </c>
      <c r="AI51" s="25">
        <v>6</v>
      </c>
      <c r="AJ51" s="25">
        <v>19</v>
      </c>
    </row>
    <row r="52" spans="1:36" ht="16.149999999999999" customHeight="1" x14ac:dyDescent="0.35">
      <c r="A52" s="14" t="s">
        <v>85</v>
      </c>
      <c r="B52" s="15">
        <v>47</v>
      </c>
      <c r="C52" s="16">
        <v>44151</v>
      </c>
      <c r="D52" s="21">
        <f>SUM(weekly_covid_deaths_council_area[[#This Row],[Aberdeen City]:[West Lothian]])</f>
        <v>249</v>
      </c>
      <c r="E52" s="25">
        <v>5</v>
      </c>
      <c r="F52" s="25">
        <v>2</v>
      </c>
      <c r="G52" s="25">
        <v>3</v>
      </c>
      <c r="H52" s="25">
        <v>1</v>
      </c>
      <c r="I52" s="25">
        <v>10</v>
      </c>
      <c r="J52" s="25">
        <v>1</v>
      </c>
      <c r="K52" s="25">
        <v>4</v>
      </c>
      <c r="L52" s="25">
        <v>6</v>
      </c>
      <c r="M52" s="25">
        <v>7</v>
      </c>
      <c r="N52" s="25">
        <v>12</v>
      </c>
      <c r="O52" s="25">
        <v>2</v>
      </c>
      <c r="P52" s="25">
        <v>5</v>
      </c>
      <c r="Q52" s="25">
        <v>5</v>
      </c>
      <c r="R52" s="25">
        <v>8</v>
      </c>
      <c r="S52" s="25">
        <v>39</v>
      </c>
      <c r="T52" s="25">
        <v>1</v>
      </c>
      <c r="U52" s="25">
        <v>2</v>
      </c>
      <c r="V52" s="25">
        <v>5</v>
      </c>
      <c r="W52" s="25">
        <v>0</v>
      </c>
      <c r="X52" s="25">
        <v>0</v>
      </c>
      <c r="Y52" s="25">
        <v>12</v>
      </c>
      <c r="Z52" s="25">
        <v>21</v>
      </c>
      <c r="AA52" s="25">
        <v>0</v>
      </c>
      <c r="AB52" s="25">
        <v>1</v>
      </c>
      <c r="AC52" s="25">
        <v>17</v>
      </c>
      <c r="AD52" s="25">
        <v>1</v>
      </c>
      <c r="AE52" s="25">
        <v>0</v>
      </c>
      <c r="AF52" s="25">
        <v>19</v>
      </c>
      <c r="AG52" s="25">
        <v>30</v>
      </c>
      <c r="AH52" s="25">
        <v>9</v>
      </c>
      <c r="AI52" s="25">
        <v>7</v>
      </c>
      <c r="AJ52" s="25">
        <v>14</v>
      </c>
    </row>
    <row r="53" spans="1:36" ht="16.149999999999999" customHeight="1" x14ac:dyDescent="0.35">
      <c r="A53" s="14" t="s">
        <v>85</v>
      </c>
      <c r="B53" s="15">
        <v>48</v>
      </c>
      <c r="C53" s="16">
        <v>44158</v>
      </c>
      <c r="D53" s="21">
        <f>SUM(weekly_covid_deaths_council_area[[#This Row],[Aberdeen City]:[West Lothian]])</f>
        <v>252</v>
      </c>
      <c r="E53" s="25">
        <v>7</v>
      </c>
      <c r="F53" s="25">
        <v>0</v>
      </c>
      <c r="G53" s="25">
        <v>3</v>
      </c>
      <c r="H53" s="25">
        <v>0</v>
      </c>
      <c r="I53" s="25">
        <v>6</v>
      </c>
      <c r="J53" s="25">
        <v>0</v>
      </c>
      <c r="K53" s="25">
        <v>5</v>
      </c>
      <c r="L53" s="25">
        <v>9</v>
      </c>
      <c r="M53" s="25">
        <v>5</v>
      </c>
      <c r="N53" s="25">
        <v>6</v>
      </c>
      <c r="O53" s="25">
        <v>0</v>
      </c>
      <c r="P53" s="25">
        <v>3</v>
      </c>
      <c r="Q53" s="25">
        <v>5</v>
      </c>
      <c r="R53" s="25">
        <v>11</v>
      </c>
      <c r="S53" s="25">
        <v>51</v>
      </c>
      <c r="T53" s="25">
        <v>0</v>
      </c>
      <c r="U53" s="25">
        <v>1</v>
      </c>
      <c r="V53" s="25">
        <v>3</v>
      </c>
      <c r="W53" s="25">
        <v>0</v>
      </c>
      <c r="X53" s="25">
        <v>0</v>
      </c>
      <c r="Y53" s="25">
        <v>8</v>
      </c>
      <c r="Z53" s="25">
        <v>24</v>
      </c>
      <c r="AA53" s="25">
        <v>0</v>
      </c>
      <c r="AB53" s="25">
        <v>7</v>
      </c>
      <c r="AC53" s="25">
        <v>17</v>
      </c>
      <c r="AD53" s="25">
        <v>2</v>
      </c>
      <c r="AE53" s="25">
        <v>0</v>
      </c>
      <c r="AF53" s="25">
        <v>18</v>
      </c>
      <c r="AG53" s="25">
        <v>30</v>
      </c>
      <c r="AH53" s="25">
        <v>8</v>
      </c>
      <c r="AI53" s="25">
        <v>4</v>
      </c>
      <c r="AJ53" s="25">
        <v>19</v>
      </c>
    </row>
    <row r="54" spans="1:36" ht="16.149999999999999" customHeight="1" x14ac:dyDescent="0.35">
      <c r="A54" s="14" t="s">
        <v>85</v>
      </c>
      <c r="B54" s="15">
        <v>49</v>
      </c>
      <c r="C54" s="16">
        <v>44165</v>
      </c>
      <c r="D54" s="21">
        <f>SUM(weekly_covid_deaths_council_area[[#This Row],[Aberdeen City]:[West Lothian]])</f>
        <v>233</v>
      </c>
      <c r="E54" s="25">
        <v>9</v>
      </c>
      <c r="F54" s="25">
        <v>1</v>
      </c>
      <c r="G54" s="25">
        <v>1</v>
      </c>
      <c r="H54" s="25">
        <v>2</v>
      </c>
      <c r="I54" s="25">
        <v>7</v>
      </c>
      <c r="J54" s="25">
        <v>2</v>
      </c>
      <c r="K54" s="25">
        <v>0</v>
      </c>
      <c r="L54" s="25">
        <v>9</v>
      </c>
      <c r="M54" s="25">
        <v>8</v>
      </c>
      <c r="N54" s="25">
        <v>5</v>
      </c>
      <c r="O54" s="25">
        <v>1</v>
      </c>
      <c r="P54" s="25">
        <v>4</v>
      </c>
      <c r="Q54" s="25">
        <v>2</v>
      </c>
      <c r="R54" s="25">
        <v>4</v>
      </c>
      <c r="S54" s="25">
        <v>38</v>
      </c>
      <c r="T54" s="25">
        <v>0</v>
      </c>
      <c r="U54" s="25">
        <v>0</v>
      </c>
      <c r="V54" s="25">
        <v>1</v>
      </c>
      <c r="W54" s="25">
        <v>0</v>
      </c>
      <c r="X54" s="25">
        <v>0</v>
      </c>
      <c r="Y54" s="25">
        <v>12</v>
      </c>
      <c r="Z54" s="25">
        <v>22</v>
      </c>
      <c r="AA54" s="25">
        <v>0</v>
      </c>
      <c r="AB54" s="25">
        <v>8</v>
      </c>
      <c r="AC54" s="25">
        <v>22</v>
      </c>
      <c r="AD54" s="25">
        <v>1</v>
      </c>
      <c r="AE54" s="25">
        <v>0</v>
      </c>
      <c r="AF54" s="25">
        <v>14</v>
      </c>
      <c r="AG54" s="25">
        <v>32</v>
      </c>
      <c r="AH54" s="25">
        <v>4</v>
      </c>
      <c r="AI54" s="25">
        <v>4</v>
      </c>
      <c r="AJ54" s="25">
        <v>20</v>
      </c>
    </row>
    <row r="55" spans="1:36" ht="16.149999999999999" customHeight="1" x14ac:dyDescent="0.35">
      <c r="A55" s="14" t="s">
        <v>85</v>
      </c>
      <c r="B55" s="15">
        <v>50</v>
      </c>
      <c r="C55" s="16">
        <v>44172</v>
      </c>
      <c r="D55" s="21">
        <f>SUM(weekly_covid_deaths_council_area[[#This Row],[Aberdeen City]:[West Lothian]])</f>
        <v>227</v>
      </c>
      <c r="E55" s="25">
        <v>7</v>
      </c>
      <c r="F55" s="25">
        <v>11</v>
      </c>
      <c r="G55" s="25">
        <v>3</v>
      </c>
      <c r="H55" s="25">
        <v>2</v>
      </c>
      <c r="I55" s="25">
        <v>19</v>
      </c>
      <c r="J55" s="25">
        <v>1</v>
      </c>
      <c r="K55" s="25">
        <v>1</v>
      </c>
      <c r="L55" s="25">
        <v>0</v>
      </c>
      <c r="M55" s="25">
        <v>7</v>
      </c>
      <c r="N55" s="25">
        <v>2</v>
      </c>
      <c r="O55" s="25">
        <v>0</v>
      </c>
      <c r="P55" s="25">
        <v>5</v>
      </c>
      <c r="Q55" s="25">
        <v>1</v>
      </c>
      <c r="R55" s="25">
        <v>12</v>
      </c>
      <c r="S55" s="25">
        <v>30</v>
      </c>
      <c r="T55" s="25">
        <v>0</v>
      </c>
      <c r="U55" s="25">
        <v>3</v>
      </c>
      <c r="V55" s="25">
        <v>9</v>
      </c>
      <c r="W55" s="25">
        <v>0</v>
      </c>
      <c r="X55" s="25">
        <v>0</v>
      </c>
      <c r="Y55" s="25">
        <v>13</v>
      </c>
      <c r="Z55" s="25">
        <v>14</v>
      </c>
      <c r="AA55" s="25">
        <v>0</v>
      </c>
      <c r="AB55" s="25">
        <v>7</v>
      </c>
      <c r="AC55" s="25">
        <v>15</v>
      </c>
      <c r="AD55" s="25">
        <v>2</v>
      </c>
      <c r="AE55" s="25">
        <v>0</v>
      </c>
      <c r="AF55" s="25">
        <v>8</v>
      </c>
      <c r="AG55" s="25">
        <v>34</v>
      </c>
      <c r="AH55" s="25">
        <v>4</v>
      </c>
      <c r="AI55" s="25">
        <v>5</v>
      </c>
      <c r="AJ55" s="25">
        <v>12</v>
      </c>
    </row>
    <row r="56" spans="1:36" ht="16.149999999999999" customHeight="1" x14ac:dyDescent="0.35">
      <c r="A56" s="14" t="s">
        <v>85</v>
      </c>
      <c r="B56" s="15">
        <v>51</v>
      </c>
      <c r="C56" s="16">
        <v>44179</v>
      </c>
      <c r="D56" s="21">
        <f>SUM(weekly_covid_deaths_council_area[[#This Row],[Aberdeen City]:[West Lothian]])</f>
        <v>208</v>
      </c>
      <c r="E56" s="25">
        <v>12</v>
      </c>
      <c r="F56" s="25">
        <v>8</v>
      </c>
      <c r="G56" s="25">
        <v>1</v>
      </c>
      <c r="H56" s="25">
        <v>2</v>
      </c>
      <c r="I56" s="25">
        <v>12</v>
      </c>
      <c r="J56" s="25">
        <v>1</v>
      </c>
      <c r="K56" s="25">
        <v>0</v>
      </c>
      <c r="L56" s="25">
        <v>2</v>
      </c>
      <c r="M56" s="25">
        <v>7</v>
      </c>
      <c r="N56" s="25">
        <v>4</v>
      </c>
      <c r="O56" s="25">
        <v>0</v>
      </c>
      <c r="P56" s="25">
        <v>7</v>
      </c>
      <c r="Q56" s="25">
        <v>1</v>
      </c>
      <c r="R56" s="25">
        <v>12</v>
      </c>
      <c r="S56" s="25">
        <v>32</v>
      </c>
      <c r="T56" s="25">
        <v>0</v>
      </c>
      <c r="U56" s="25">
        <v>1</v>
      </c>
      <c r="V56" s="25">
        <v>10</v>
      </c>
      <c r="W56" s="25">
        <v>0</v>
      </c>
      <c r="X56" s="25">
        <v>0</v>
      </c>
      <c r="Y56" s="25">
        <v>11</v>
      </c>
      <c r="Z56" s="25">
        <v>12</v>
      </c>
      <c r="AA56" s="25">
        <v>0</v>
      </c>
      <c r="AB56" s="25">
        <v>8</v>
      </c>
      <c r="AC56" s="25">
        <v>12</v>
      </c>
      <c r="AD56" s="25">
        <v>5</v>
      </c>
      <c r="AE56" s="25">
        <v>0</v>
      </c>
      <c r="AF56" s="25">
        <v>4</v>
      </c>
      <c r="AG56" s="25">
        <v>25</v>
      </c>
      <c r="AH56" s="25">
        <v>5</v>
      </c>
      <c r="AI56" s="25">
        <v>4</v>
      </c>
      <c r="AJ56" s="25">
        <v>10</v>
      </c>
    </row>
    <row r="57" spans="1:36" ht="16.149999999999999" customHeight="1" x14ac:dyDescent="0.35">
      <c r="A57" s="14" t="s">
        <v>85</v>
      </c>
      <c r="B57" s="15">
        <v>52</v>
      </c>
      <c r="C57" s="16">
        <v>44186</v>
      </c>
      <c r="D57" s="21">
        <f>SUM(weekly_covid_deaths_council_area[[#This Row],[Aberdeen City]:[West Lothian]])</f>
        <v>203</v>
      </c>
      <c r="E57" s="25">
        <v>7</v>
      </c>
      <c r="F57" s="25">
        <v>9</v>
      </c>
      <c r="G57" s="25">
        <v>2</v>
      </c>
      <c r="H57" s="25">
        <v>3</v>
      </c>
      <c r="I57" s="25">
        <v>11</v>
      </c>
      <c r="J57" s="25">
        <v>7</v>
      </c>
      <c r="K57" s="25">
        <v>0</v>
      </c>
      <c r="L57" s="25">
        <v>0</v>
      </c>
      <c r="M57" s="25">
        <v>7</v>
      </c>
      <c r="N57" s="25">
        <v>1</v>
      </c>
      <c r="O57" s="25">
        <v>3</v>
      </c>
      <c r="P57" s="25">
        <v>6</v>
      </c>
      <c r="Q57" s="25">
        <v>2</v>
      </c>
      <c r="R57" s="25">
        <v>23</v>
      </c>
      <c r="S57" s="25">
        <v>26</v>
      </c>
      <c r="T57" s="25">
        <v>0</v>
      </c>
      <c r="U57" s="25">
        <v>1</v>
      </c>
      <c r="V57" s="25">
        <v>4</v>
      </c>
      <c r="W57" s="25">
        <v>0</v>
      </c>
      <c r="X57" s="25">
        <v>0</v>
      </c>
      <c r="Y57" s="25">
        <v>7</v>
      </c>
      <c r="Z57" s="25">
        <v>21</v>
      </c>
      <c r="AA57" s="25">
        <v>0</v>
      </c>
      <c r="AB57" s="25">
        <v>12</v>
      </c>
      <c r="AC57" s="25">
        <v>15</v>
      </c>
      <c r="AD57" s="25">
        <v>1</v>
      </c>
      <c r="AE57" s="25">
        <v>0</v>
      </c>
      <c r="AF57" s="25">
        <v>7</v>
      </c>
      <c r="AG57" s="25">
        <v>16</v>
      </c>
      <c r="AH57" s="25">
        <v>4</v>
      </c>
      <c r="AI57" s="25">
        <v>2</v>
      </c>
      <c r="AJ57" s="25">
        <v>6</v>
      </c>
    </row>
    <row r="58" spans="1:36" ht="16.149999999999999" customHeight="1" x14ac:dyDescent="0.35">
      <c r="A58" s="11" t="s">
        <v>85</v>
      </c>
      <c r="B58" s="15">
        <v>53</v>
      </c>
      <c r="C58" s="16">
        <v>44193</v>
      </c>
      <c r="D58" s="21">
        <f>SUM(weekly_covid_deaths_council_area[[#This Row],[Aberdeen City]:[West Lothian]])</f>
        <v>187</v>
      </c>
      <c r="E58" s="25">
        <v>8</v>
      </c>
      <c r="F58" s="25">
        <v>7</v>
      </c>
      <c r="G58" s="25">
        <v>2</v>
      </c>
      <c r="H58" s="25">
        <v>2</v>
      </c>
      <c r="I58" s="25">
        <v>24</v>
      </c>
      <c r="J58" s="25">
        <v>2</v>
      </c>
      <c r="K58" s="25">
        <v>0</v>
      </c>
      <c r="L58" s="25">
        <v>5</v>
      </c>
      <c r="M58" s="25">
        <v>6</v>
      </c>
      <c r="N58" s="25">
        <v>6</v>
      </c>
      <c r="O58" s="25">
        <v>2</v>
      </c>
      <c r="P58" s="25">
        <v>5</v>
      </c>
      <c r="Q58" s="25">
        <v>2</v>
      </c>
      <c r="R58" s="25">
        <v>16</v>
      </c>
      <c r="S58" s="25">
        <v>21</v>
      </c>
      <c r="T58" s="25">
        <v>0</v>
      </c>
      <c r="U58" s="25">
        <v>1</v>
      </c>
      <c r="V58" s="25">
        <v>1</v>
      </c>
      <c r="W58" s="25">
        <v>0</v>
      </c>
      <c r="X58" s="25">
        <v>0</v>
      </c>
      <c r="Y58" s="25">
        <v>6</v>
      </c>
      <c r="Z58" s="25">
        <v>14</v>
      </c>
      <c r="AA58" s="25">
        <v>0</v>
      </c>
      <c r="AB58" s="25">
        <v>9</v>
      </c>
      <c r="AC58" s="25">
        <v>6</v>
      </c>
      <c r="AD58" s="25">
        <v>9</v>
      </c>
      <c r="AE58" s="25">
        <v>0</v>
      </c>
      <c r="AF58" s="25">
        <v>7</v>
      </c>
      <c r="AG58" s="25">
        <v>14</v>
      </c>
      <c r="AH58" s="25">
        <v>2</v>
      </c>
      <c r="AI58" s="25">
        <v>5</v>
      </c>
      <c r="AJ58" s="25">
        <v>5</v>
      </c>
    </row>
    <row r="59" spans="1:36" s="31" customFormat="1" x14ac:dyDescent="0.35">
      <c r="A59" s="79" t="s">
        <v>179</v>
      </c>
      <c r="B59" s="80" t="s">
        <v>179</v>
      </c>
      <c r="C59" s="80" t="s">
        <v>179</v>
      </c>
      <c r="D59" s="81">
        <f>SUBTOTAL(109,weekly_covid_deaths_council_area[Scotland])</f>
        <v>6702</v>
      </c>
      <c r="E59" s="81">
        <f>SUBTOTAL(109,weekly_covid_deaths_council_area[Aberdeen City])</f>
        <v>193</v>
      </c>
      <c r="F59" s="81">
        <f>SUBTOTAL(109,weekly_covid_deaths_council_area[Aberdeenshire])</f>
        <v>161</v>
      </c>
      <c r="G59" s="81">
        <f>SUBTOTAL(109,weekly_covid_deaths_council_area[Angus])</f>
        <v>99</v>
      </c>
      <c r="H59" s="81">
        <f>SUBTOTAL(109,weekly_covid_deaths_council_area[Argyll and Bute])</f>
        <v>86</v>
      </c>
      <c r="I59" s="81">
        <f>SUBTOTAL(109,weekly_covid_deaths_council_area[City of Edinburgh])</f>
        <v>557</v>
      </c>
      <c r="J59" s="81">
        <f>SUBTOTAL(109,weekly_covid_deaths_council_area[Clackmannanshire])</f>
        <v>66</v>
      </c>
      <c r="K59" s="81">
        <f>SUBTOTAL(109,weekly_covid_deaths_council_area[Dumfries and Galloway])</f>
        <v>79</v>
      </c>
      <c r="L59" s="81">
        <f>SUBTOTAL(109,weekly_covid_deaths_council_area[Dundee City])</f>
        <v>220</v>
      </c>
      <c r="M59" s="81">
        <f>SUBTOTAL(109,weekly_covid_deaths_council_area[East Ayrshire])</f>
        <v>159</v>
      </c>
      <c r="N59" s="81">
        <f>SUBTOTAL(109,weekly_covid_deaths_council_area[East Dunbartonshire])</f>
        <v>208</v>
      </c>
      <c r="O59" s="81">
        <f>SUBTOTAL(109,weekly_covid_deaths_council_area[East Lothian])</f>
        <v>93</v>
      </c>
      <c r="P59" s="81">
        <f>SUBTOTAL(109,weekly_covid_deaths_council_area[East Renfrewshire])</f>
        <v>166</v>
      </c>
      <c r="Q59" s="81">
        <f>SUBTOTAL(109,weekly_covid_deaths_council_area[Falkirk])</f>
        <v>181</v>
      </c>
      <c r="R59" s="81">
        <f>SUBTOTAL(109,weekly_covid_deaths_council_area[Fife])</f>
        <v>310</v>
      </c>
      <c r="S59" s="81">
        <f>SUBTOTAL(109,weekly_covid_deaths_council_area[Glasgow City])</f>
        <v>1113</v>
      </c>
      <c r="T59" s="81">
        <f>SUBTOTAL(109,weekly_covid_deaths_council_area[Highland])</f>
        <v>54</v>
      </c>
      <c r="U59" s="81">
        <f>SUBTOTAL(109,weekly_covid_deaths_council_area[Inverclyde])</f>
        <v>132</v>
      </c>
      <c r="V59" s="81">
        <f>SUBTOTAL(109,weekly_covid_deaths_council_area[Midlothian])</f>
        <v>161</v>
      </c>
      <c r="W59" s="81">
        <f>SUBTOTAL(109,weekly_covid_deaths_council_area[Moray])</f>
        <v>22</v>
      </c>
      <c r="X59" s="81">
        <f>SUBTOTAL(109,weekly_covid_deaths_council_area[Na h-Eileanan Siar])</f>
        <v>1</v>
      </c>
      <c r="Y59" s="81">
        <f>SUBTOTAL(109,weekly_covid_deaths_council_area[North Ayrshire])</f>
        <v>207</v>
      </c>
      <c r="Z59" s="81">
        <f>SUBTOTAL(109,weekly_covid_deaths_council_area[North Lanarkshire])</f>
        <v>512</v>
      </c>
      <c r="AA59" s="81">
        <f>SUBTOTAL(109,weekly_covid_deaths_council_area[Orkney Islands])</f>
        <v>3</v>
      </c>
      <c r="AB59" s="81">
        <f>SUBTOTAL(109,weekly_covid_deaths_council_area[Perth and Kinross])</f>
        <v>134</v>
      </c>
      <c r="AC59" s="81">
        <f>SUBTOTAL(109,weekly_covid_deaths_council_area[Renfrewshire])</f>
        <v>342</v>
      </c>
      <c r="AD59" s="81">
        <f>SUBTOTAL(109,weekly_covid_deaths_council_area[[Scottish Borders ]])</f>
        <v>104</v>
      </c>
      <c r="AE59" s="81">
        <f>SUBTOTAL(109,weekly_covid_deaths_council_area[Shetland Islands])</f>
        <v>8</v>
      </c>
      <c r="AF59" s="81">
        <f>SUBTOTAL(109,weekly_covid_deaths_council_area[South Ayrshire])</f>
        <v>211</v>
      </c>
      <c r="AG59" s="81">
        <f>SUBTOTAL(109,weekly_covid_deaths_council_area[South Lanarkshire])</f>
        <v>596</v>
      </c>
      <c r="AH59" s="81">
        <f>SUBTOTAL(109,weekly_covid_deaths_council_area[Stirling])</f>
        <v>102</v>
      </c>
      <c r="AI59" s="81">
        <f>SUBTOTAL(109,weekly_covid_deaths_council_area[West Dunbartonshire])</f>
        <v>178</v>
      </c>
      <c r="AJ59" s="82">
        <f>SUBTOTAL(109,weekly_covid_deaths_council_area[West Lothian])</f>
        <v>244</v>
      </c>
    </row>
  </sheetData>
  <hyperlinks>
    <hyperlink ref="A4" location="Contents!A1" display="Back to table of contents" xr:uid="{00000000-0004-0000-0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74"/>
  <sheetViews>
    <sheetView zoomScaleNormal="100" workbookViewId="0"/>
  </sheetViews>
  <sheetFormatPr defaultColWidth="9.26953125" defaultRowHeight="15.5" x14ac:dyDescent="0.35"/>
  <cols>
    <col min="1" max="3" width="15.7265625" style="5" customWidth="1"/>
    <col min="4" max="11" width="9.7265625" style="5" customWidth="1"/>
    <col min="12" max="22" width="9.26953125" style="5"/>
    <col min="23" max="16384" width="9.26953125" style="10"/>
  </cols>
  <sheetData>
    <row r="1" spans="1:22" s="5" customFormat="1" x14ac:dyDescent="0.35">
      <c r="A1" s="4" t="s">
        <v>166</v>
      </c>
    </row>
    <row r="2" spans="1:22" s="5" customFormat="1" x14ac:dyDescent="0.35">
      <c r="A2" s="6" t="s">
        <v>59</v>
      </c>
    </row>
    <row r="3" spans="1:22" s="5" customFormat="1" x14ac:dyDescent="0.35">
      <c r="A3" s="6" t="s">
        <v>60</v>
      </c>
    </row>
    <row r="4" spans="1:22" s="5" customFormat="1" ht="30" customHeight="1" x14ac:dyDescent="0.35">
      <c r="A4" s="63" t="s">
        <v>53</v>
      </c>
    </row>
    <row r="5" spans="1:22" ht="42" customHeight="1" x14ac:dyDescent="0.35">
      <c r="A5" s="22" t="s">
        <v>154</v>
      </c>
      <c r="B5" s="23"/>
      <c r="E5" s="24"/>
      <c r="F5" s="24"/>
    </row>
    <row r="6" spans="1:22" ht="31.5" thickBot="1" x14ac:dyDescent="0.4">
      <c r="A6" s="12" t="s">
        <v>63</v>
      </c>
      <c r="B6" s="13" t="s">
        <v>57</v>
      </c>
      <c r="C6" s="13" t="s">
        <v>86</v>
      </c>
      <c r="D6" s="8" t="s">
        <v>61</v>
      </c>
      <c r="E6" s="9" t="s">
        <v>62</v>
      </c>
      <c r="F6" s="9" t="s">
        <v>64</v>
      </c>
      <c r="G6" s="9" t="s">
        <v>65</v>
      </c>
      <c r="H6" s="9" t="s">
        <v>132</v>
      </c>
      <c r="I6" s="9" t="s">
        <v>66</v>
      </c>
      <c r="J6" s="9" t="s">
        <v>67</v>
      </c>
      <c r="K6" s="7" t="s">
        <v>68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0" customHeight="1" x14ac:dyDescent="0.35">
      <c r="A7" s="14" t="s">
        <v>85</v>
      </c>
      <c r="B7" s="15">
        <v>1</v>
      </c>
      <c r="C7" s="16">
        <v>43829</v>
      </c>
      <c r="D7" s="17">
        <f>SUM(weekly_all_cause_deaths_age_persons[[#This Row],[&lt;1]:[85+]])</f>
        <v>1161</v>
      </c>
      <c r="E7" s="1">
        <v>3</v>
      </c>
      <c r="F7" s="1">
        <v>1</v>
      </c>
      <c r="G7" s="1">
        <v>24</v>
      </c>
      <c r="H7" s="1">
        <v>153</v>
      </c>
      <c r="I7" s="1">
        <v>197</v>
      </c>
      <c r="J7" s="1">
        <v>372</v>
      </c>
      <c r="K7" s="1">
        <v>411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6.149999999999999" customHeight="1" x14ac:dyDescent="0.35">
      <c r="A8" s="14" t="s">
        <v>85</v>
      </c>
      <c r="B8" s="15">
        <v>2</v>
      </c>
      <c r="C8" s="16">
        <v>43836</v>
      </c>
      <c r="D8" s="3">
        <f>SUM(weekly_all_cause_deaths_age_persons[[#This Row],[&lt;1]:[85+]])</f>
        <v>1567</v>
      </c>
      <c r="E8" s="2">
        <v>0</v>
      </c>
      <c r="F8" s="2">
        <v>3</v>
      </c>
      <c r="G8" s="2">
        <v>59</v>
      </c>
      <c r="H8" s="2">
        <v>215</v>
      </c>
      <c r="I8" s="2">
        <v>288</v>
      </c>
      <c r="J8" s="2">
        <v>428</v>
      </c>
      <c r="K8" s="2">
        <v>574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6.149999999999999" customHeight="1" x14ac:dyDescent="0.35">
      <c r="A9" s="14" t="s">
        <v>85</v>
      </c>
      <c r="B9" s="15">
        <v>3</v>
      </c>
      <c r="C9" s="16">
        <v>43843</v>
      </c>
      <c r="D9" s="3">
        <f>SUM(weekly_all_cause_deaths_age_persons[[#This Row],[&lt;1]:[85+]])</f>
        <v>1322</v>
      </c>
      <c r="E9" s="2">
        <v>3</v>
      </c>
      <c r="F9" s="2">
        <v>0</v>
      </c>
      <c r="G9" s="2">
        <v>36</v>
      </c>
      <c r="H9" s="2">
        <v>193</v>
      </c>
      <c r="I9" s="2">
        <v>239</v>
      </c>
      <c r="J9" s="2">
        <v>385</v>
      </c>
      <c r="K9" s="2">
        <v>466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6.149999999999999" customHeight="1" x14ac:dyDescent="0.35">
      <c r="A10" s="14" t="s">
        <v>85</v>
      </c>
      <c r="B10" s="15">
        <v>4</v>
      </c>
      <c r="C10" s="16">
        <v>43850</v>
      </c>
      <c r="D10" s="3">
        <f>SUM(weekly_all_cause_deaths_age_persons[[#This Row],[&lt;1]:[85+]])</f>
        <v>1226</v>
      </c>
      <c r="E10" s="2">
        <v>1</v>
      </c>
      <c r="F10" s="2">
        <v>3</v>
      </c>
      <c r="G10" s="2">
        <v>50</v>
      </c>
      <c r="H10" s="2">
        <v>171</v>
      </c>
      <c r="I10" s="2">
        <v>231</v>
      </c>
      <c r="J10" s="2">
        <v>343</v>
      </c>
      <c r="K10" s="2">
        <v>427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6.149999999999999" customHeight="1" x14ac:dyDescent="0.35">
      <c r="A11" s="14" t="s">
        <v>85</v>
      </c>
      <c r="B11" s="15">
        <v>5</v>
      </c>
      <c r="C11" s="16">
        <v>43857</v>
      </c>
      <c r="D11" s="3">
        <f>SUM(weekly_all_cause_deaths_age_persons[[#This Row],[&lt;1]:[85+]])</f>
        <v>1188</v>
      </c>
      <c r="E11" s="2">
        <v>3</v>
      </c>
      <c r="F11" s="2">
        <v>3</v>
      </c>
      <c r="G11" s="2">
        <v>31</v>
      </c>
      <c r="H11" s="2">
        <v>174</v>
      </c>
      <c r="I11" s="2">
        <v>214</v>
      </c>
      <c r="J11" s="2">
        <v>368</v>
      </c>
      <c r="K11" s="2">
        <v>395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6.149999999999999" customHeight="1" x14ac:dyDescent="0.35">
      <c r="A12" s="14" t="s">
        <v>85</v>
      </c>
      <c r="B12" s="15">
        <v>6</v>
      </c>
      <c r="C12" s="16">
        <v>43864</v>
      </c>
      <c r="D12" s="3">
        <f>SUM(weekly_all_cause_deaths_age_persons[[#This Row],[&lt;1]:[85+]])</f>
        <v>1216</v>
      </c>
      <c r="E12" s="2">
        <v>6</v>
      </c>
      <c r="F12" s="2">
        <v>4</v>
      </c>
      <c r="G12" s="2">
        <v>31</v>
      </c>
      <c r="H12" s="2">
        <v>170</v>
      </c>
      <c r="I12" s="2">
        <v>211</v>
      </c>
      <c r="J12" s="2">
        <v>378</v>
      </c>
      <c r="K12" s="2">
        <v>416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6.149999999999999" customHeight="1" x14ac:dyDescent="0.35">
      <c r="A13" s="14" t="s">
        <v>85</v>
      </c>
      <c r="B13" s="15">
        <v>7</v>
      </c>
      <c r="C13" s="16">
        <v>43871</v>
      </c>
      <c r="D13" s="3">
        <f>SUM(weekly_all_cause_deaths_age_persons[[#This Row],[&lt;1]:[85+]])</f>
        <v>1162</v>
      </c>
      <c r="E13" s="2">
        <v>4</v>
      </c>
      <c r="F13" s="2">
        <v>1</v>
      </c>
      <c r="G13" s="2">
        <v>39</v>
      </c>
      <c r="H13" s="2">
        <v>166</v>
      </c>
      <c r="I13" s="2">
        <v>240</v>
      </c>
      <c r="J13" s="2">
        <v>328</v>
      </c>
      <c r="K13" s="2">
        <v>384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6.149999999999999" customHeight="1" x14ac:dyDescent="0.35">
      <c r="A14" s="14" t="s">
        <v>85</v>
      </c>
      <c r="B14" s="15">
        <v>8</v>
      </c>
      <c r="C14" s="16">
        <v>43878</v>
      </c>
      <c r="D14" s="3">
        <f>SUM(weekly_all_cause_deaths_age_persons[[#This Row],[&lt;1]:[85+]])</f>
        <v>1162</v>
      </c>
      <c r="E14" s="2">
        <v>2</v>
      </c>
      <c r="F14" s="2">
        <v>2</v>
      </c>
      <c r="G14" s="2">
        <v>45</v>
      </c>
      <c r="H14" s="2">
        <v>151</v>
      </c>
      <c r="I14" s="2">
        <v>224</v>
      </c>
      <c r="J14" s="2">
        <v>354</v>
      </c>
      <c r="K14" s="2">
        <v>384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6.149999999999999" customHeight="1" x14ac:dyDescent="0.35">
      <c r="A15" s="14" t="s">
        <v>85</v>
      </c>
      <c r="B15" s="15">
        <v>9</v>
      </c>
      <c r="C15" s="16">
        <v>43885</v>
      </c>
      <c r="D15" s="3">
        <f>SUM(weekly_all_cause_deaths_age_persons[[#This Row],[&lt;1]:[85+]])</f>
        <v>1171</v>
      </c>
      <c r="E15" s="2">
        <v>2</v>
      </c>
      <c r="F15" s="2">
        <v>3</v>
      </c>
      <c r="G15" s="2">
        <v>47</v>
      </c>
      <c r="H15" s="2">
        <v>165</v>
      </c>
      <c r="I15" s="2">
        <v>214</v>
      </c>
      <c r="J15" s="2">
        <v>333</v>
      </c>
      <c r="K15" s="2">
        <v>407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6.149999999999999" customHeight="1" x14ac:dyDescent="0.35">
      <c r="A16" s="14" t="s">
        <v>85</v>
      </c>
      <c r="B16" s="15">
        <v>10</v>
      </c>
      <c r="C16" s="16">
        <v>43892</v>
      </c>
      <c r="D16" s="3">
        <f>SUM(weekly_all_cause_deaths_age_persons[[#This Row],[&lt;1]:[85+]])</f>
        <v>1208</v>
      </c>
      <c r="E16" s="2">
        <v>3</v>
      </c>
      <c r="F16" s="2">
        <v>0</v>
      </c>
      <c r="G16" s="2">
        <v>48</v>
      </c>
      <c r="H16" s="2">
        <v>173</v>
      </c>
      <c r="I16" s="2">
        <v>217</v>
      </c>
      <c r="J16" s="2">
        <v>360</v>
      </c>
      <c r="K16" s="2">
        <v>407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6.149999999999999" customHeight="1" x14ac:dyDescent="0.35">
      <c r="A17" s="14" t="s">
        <v>85</v>
      </c>
      <c r="B17" s="15">
        <v>11</v>
      </c>
      <c r="C17" s="16">
        <v>43899</v>
      </c>
      <c r="D17" s="3">
        <f>SUM(weekly_all_cause_deaths_age_persons[[#This Row],[&lt;1]:[85+]])</f>
        <v>1198</v>
      </c>
      <c r="E17" s="2">
        <v>5</v>
      </c>
      <c r="F17" s="2">
        <v>2</v>
      </c>
      <c r="G17" s="2">
        <v>51</v>
      </c>
      <c r="H17" s="2">
        <v>183</v>
      </c>
      <c r="I17" s="2">
        <v>225</v>
      </c>
      <c r="J17" s="2">
        <v>331</v>
      </c>
      <c r="K17" s="2">
        <v>401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6.149999999999999" customHeight="1" x14ac:dyDescent="0.35">
      <c r="A18" s="14" t="s">
        <v>85</v>
      </c>
      <c r="B18" s="15">
        <v>12</v>
      </c>
      <c r="C18" s="16">
        <v>43906</v>
      </c>
      <c r="D18" s="3">
        <f>SUM(weekly_all_cause_deaths_age_persons[[#This Row],[&lt;1]:[85+]])</f>
        <v>1196</v>
      </c>
      <c r="E18" s="2">
        <v>4</v>
      </c>
      <c r="F18" s="2">
        <v>0</v>
      </c>
      <c r="G18" s="2">
        <v>41</v>
      </c>
      <c r="H18" s="2">
        <v>189</v>
      </c>
      <c r="I18" s="2">
        <v>228</v>
      </c>
      <c r="J18" s="2">
        <v>363</v>
      </c>
      <c r="K18" s="2">
        <v>371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6.149999999999999" customHeight="1" x14ac:dyDescent="0.35">
      <c r="A19" s="14" t="s">
        <v>85</v>
      </c>
      <c r="B19" s="15">
        <v>13</v>
      </c>
      <c r="C19" s="16">
        <v>43913</v>
      </c>
      <c r="D19" s="3">
        <f>SUM(weekly_all_cause_deaths_age_persons[[#This Row],[&lt;1]:[85+]])</f>
        <v>1079</v>
      </c>
      <c r="E19" s="2">
        <v>5</v>
      </c>
      <c r="F19" s="2">
        <v>1</v>
      </c>
      <c r="G19" s="2">
        <v>26</v>
      </c>
      <c r="H19" s="2">
        <v>146</v>
      </c>
      <c r="I19" s="2">
        <v>202</v>
      </c>
      <c r="J19" s="2">
        <v>317</v>
      </c>
      <c r="K19" s="2">
        <v>382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6.149999999999999" customHeight="1" x14ac:dyDescent="0.35">
      <c r="A20" s="14" t="s">
        <v>85</v>
      </c>
      <c r="B20" s="15">
        <v>14</v>
      </c>
      <c r="C20" s="16">
        <v>43920</v>
      </c>
      <c r="D20" s="3">
        <f>SUM(weekly_all_cause_deaths_age_persons[[#This Row],[&lt;1]:[85+]])</f>
        <v>1744</v>
      </c>
      <c r="E20" s="25">
        <v>3</v>
      </c>
      <c r="F20" s="25">
        <v>2</v>
      </c>
      <c r="G20" s="25">
        <v>61</v>
      </c>
      <c r="H20" s="25">
        <v>226</v>
      </c>
      <c r="I20" s="25">
        <v>333</v>
      </c>
      <c r="J20" s="25">
        <v>542</v>
      </c>
      <c r="K20" s="25">
        <v>577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6.149999999999999" customHeight="1" x14ac:dyDescent="0.35">
      <c r="A21" s="14" t="s">
        <v>85</v>
      </c>
      <c r="B21" s="15">
        <v>15</v>
      </c>
      <c r="C21" s="16">
        <v>43927</v>
      </c>
      <c r="D21" s="3">
        <f>SUM(weekly_all_cause_deaths_age_persons[[#This Row],[&lt;1]:[85+]])</f>
        <v>1978</v>
      </c>
      <c r="E21" s="19">
        <v>6</v>
      </c>
      <c r="F21" s="19">
        <v>2</v>
      </c>
      <c r="G21" s="19">
        <v>55</v>
      </c>
      <c r="H21" s="19">
        <v>241</v>
      </c>
      <c r="I21" s="19">
        <v>330</v>
      </c>
      <c r="J21" s="19">
        <v>641</v>
      </c>
      <c r="K21" s="19">
        <v>703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6.149999999999999" customHeight="1" x14ac:dyDescent="0.35">
      <c r="A22" s="14" t="s">
        <v>85</v>
      </c>
      <c r="B22" s="15">
        <v>16</v>
      </c>
      <c r="C22" s="16">
        <v>43934</v>
      </c>
      <c r="D22" s="3">
        <f>SUM(weekly_all_cause_deaths_age_persons[[#This Row],[&lt;1]:[85+]])</f>
        <v>1916</v>
      </c>
      <c r="E22" s="19">
        <v>3</v>
      </c>
      <c r="F22" s="19">
        <v>0</v>
      </c>
      <c r="G22" s="19">
        <v>47</v>
      </c>
      <c r="H22" s="19">
        <v>214</v>
      </c>
      <c r="I22" s="19">
        <v>295</v>
      </c>
      <c r="J22" s="19">
        <v>606</v>
      </c>
      <c r="K22" s="19">
        <v>751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6.149999999999999" customHeight="1" x14ac:dyDescent="0.35">
      <c r="A23" s="14" t="s">
        <v>85</v>
      </c>
      <c r="B23" s="15">
        <v>17</v>
      </c>
      <c r="C23" s="16">
        <v>43941</v>
      </c>
      <c r="D23" s="3">
        <f>SUM(weekly_all_cause_deaths_age_persons[[#This Row],[&lt;1]:[85+]])</f>
        <v>1836</v>
      </c>
      <c r="E23" s="19">
        <v>2</v>
      </c>
      <c r="F23" s="19">
        <v>1</v>
      </c>
      <c r="G23" s="19">
        <v>54</v>
      </c>
      <c r="H23" s="19">
        <v>230</v>
      </c>
      <c r="I23" s="19">
        <v>309</v>
      </c>
      <c r="J23" s="19">
        <v>578</v>
      </c>
      <c r="K23" s="19">
        <v>662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6.149999999999999" customHeight="1" x14ac:dyDescent="0.35">
      <c r="A24" s="14" t="s">
        <v>85</v>
      </c>
      <c r="B24" s="15">
        <v>18</v>
      </c>
      <c r="C24" s="16">
        <v>43948</v>
      </c>
      <c r="D24" s="20">
        <f>SUM(weekly_all_cause_deaths_age_persons[[#This Row],[&lt;1]:[85+]])</f>
        <v>1678</v>
      </c>
      <c r="E24" s="19">
        <v>1</v>
      </c>
      <c r="F24" s="19">
        <v>1</v>
      </c>
      <c r="G24" s="19">
        <v>51</v>
      </c>
      <c r="H24" s="19">
        <v>207</v>
      </c>
      <c r="I24" s="19">
        <v>270</v>
      </c>
      <c r="J24" s="19">
        <v>478</v>
      </c>
      <c r="K24" s="19">
        <v>670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6.149999999999999" customHeight="1" x14ac:dyDescent="0.35">
      <c r="A25" s="14" t="s">
        <v>85</v>
      </c>
      <c r="B25" s="15">
        <v>19</v>
      </c>
      <c r="C25" s="16">
        <v>43955</v>
      </c>
      <c r="D25" s="20">
        <f>SUM(weekly_all_cause_deaths_age_persons[[#This Row],[&lt;1]:[85+]])</f>
        <v>1435</v>
      </c>
      <c r="E25" s="19">
        <v>2</v>
      </c>
      <c r="F25" s="19">
        <v>2</v>
      </c>
      <c r="G25" s="19">
        <v>39</v>
      </c>
      <c r="H25" s="19">
        <v>182</v>
      </c>
      <c r="I25" s="19">
        <v>241</v>
      </c>
      <c r="J25" s="19">
        <v>467</v>
      </c>
      <c r="K25" s="19">
        <v>502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6.149999999999999" customHeight="1" x14ac:dyDescent="0.35">
      <c r="A26" s="14" t="s">
        <v>85</v>
      </c>
      <c r="B26" s="15">
        <v>20</v>
      </c>
      <c r="C26" s="16">
        <v>43962</v>
      </c>
      <c r="D26" s="20">
        <f>SUM(weekly_all_cause_deaths_age_persons[[#This Row],[&lt;1]:[85+]])</f>
        <v>1421</v>
      </c>
      <c r="E26" s="19">
        <v>4</v>
      </c>
      <c r="F26" s="19">
        <v>2</v>
      </c>
      <c r="G26" s="19">
        <v>57</v>
      </c>
      <c r="H26" s="19">
        <v>203</v>
      </c>
      <c r="I26" s="19">
        <v>231</v>
      </c>
      <c r="J26" s="19">
        <v>406</v>
      </c>
      <c r="K26" s="19">
        <v>518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6.149999999999999" customHeight="1" x14ac:dyDescent="0.35">
      <c r="A27" s="14" t="s">
        <v>85</v>
      </c>
      <c r="B27" s="15">
        <v>21</v>
      </c>
      <c r="C27" s="16">
        <v>43969</v>
      </c>
      <c r="D27" s="20">
        <f>SUM(weekly_all_cause_deaths_age_persons[[#This Row],[&lt;1]:[85+]])</f>
        <v>1226</v>
      </c>
      <c r="E27" s="19">
        <v>4</v>
      </c>
      <c r="F27" s="19">
        <v>3</v>
      </c>
      <c r="G27" s="19">
        <v>46</v>
      </c>
      <c r="H27" s="19">
        <v>164</v>
      </c>
      <c r="I27" s="19">
        <v>215</v>
      </c>
      <c r="J27" s="19">
        <v>349</v>
      </c>
      <c r="K27" s="19">
        <v>445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6.149999999999999" customHeight="1" x14ac:dyDescent="0.35">
      <c r="A28" s="14" t="s">
        <v>85</v>
      </c>
      <c r="B28" s="15">
        <v>22</v>
      </c>
      <c r="C28" s="16">
        <v>43976</v>
      </c>
      <c r="D28" s="21">
        <f>SUM(weekly_all_cause_deaths_age_persons[[#This Row],[&lt;1]:[85+]])</f>
        <v>1128</v>
      </c>
      <c r="E28" s="19">
        <v>2</v>
      </c>
      <c r="F28" s="19">
        <v>2</v>
      </c>
      <c r="G28" s="19">
        <v>46</v>
      </c>
      <c r="H28" s="19">
        <v>165</v>
      </c>
      <c r="I28" s="19">
        <v>197</v>
      </c>
      <c r="J28" s="19">
        <v>329</v>
      </c>
      <c r="K28" s="19">
        <v>387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6.149999999999999" customHeight="1" x14ac:dyDescent="0.35">
      <c r="A29" s="14" t="s">
        <v>85</v>
      </c>
      <c r="B29" s="15">
        <v>23</v>
      </c>
      <c r="C29" s="16">
        <v>43983</v>
      </c>
      <c r="D29" s="20">
        <f>SUM(weekly_all_cause_deaths_age_persons[[#This Row],[&lt;1]:[85+]])</f>
        <v>1093</v>
      </c>
      <c r="E29" s="19">
        <v>4</v>
      </c>
      <c r="F29" s="19">
        <v>0</v>
      </c>
      <c r="G29" s="19">
        <v>51</v>
      </c>
      <c r="H29" s="19">
        <v>164</v>
      </c>
      <c r="I29" s="19">
        <v>206</v>
      </c>
      <c r="J29" s="19">
        <v>322</v>
      </c>
      <c r="K29" s="19">
        <v>346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6.149999999999999" customHeight="1" x14ac:dyDescent="0.35">
      <c r="A30" s="14" t="s">
        <v>85</v>
      </c>
      <c r="B30" s="15">
        <v>24</v>
      </c>
      <c r="C30" s="16">
        <v>43990</v>
      </c>
      <c r="D30" s="20">
        <f>SUM(weekly_all_cause_deaths_age_persons[[#This Row],[&lt;1]:[85+]])</f>
        <v>1034</v>
      </c>
      <c r="E30" s="19">
        <v>2</v>
      </c>
      <c r="F30" s="19">
        <v>1</v>
      </c>
      <c r="G30" s="19">
        <v>52</v>
      </c>
      <c r="H30" s="19">
        <v>139</v>
      </c>
      <c r="I30" s="19">
        <v>205</v>
      </c>
      <c r="J30" s="19">
        <v>310</v>
      </c>
      <c r="K30" s="19">
        <v>325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6.149999999999999" customHeight="1" x14ac:dyDescent="0.35">
      <c r="A31" s="14" t="s">
        <v>85</v>
      </c>
      <c r="B31" s="15">
        <v>25</v>
      </c>
      <c r="C31" s="16">
        <v>43997</v>
      </c>
      <c r="D31" s="20">
        <f>SUM(weekly_all_cause_deaths_age_persons[[#This Row],[&lt;1]:[85+]])</f>
        <v>1065</v>
      </c>
      <c r="E31" s="19">
        <v>2</v>
      </c>
      <c r="F31" s="19">
        <v>0</v>
      </c>
      <c r="G31" s="19">
        <v>48</v>
      </c>
      <c r="H31" s="19">
        <v>153</v>
      </c>
      <c r="I31" s="19">
        <v>172</v>
      </c>
      <c r="J31" s="19">
        <v>334</v>
      </c>
      <c r="K31" s="19">
        <v>356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6.149999999999999" customHeight="1" x14ac:dyDescent="0.35">
      <c r="A32" s="14" t="s">
        <v>85</v>
      </c>
      <c r="B32" s="15">
        <v>26</v>
      </c>
      <c r="C32" s="16">
        <v>44004</v>
      </c>
      <c r="D32" s="3">
        <f>SUM(weekly_all_cause_deaths_age_persons[[#This Row],[&lt;1]:[85+]])</f>
        <v>1008</v>
      </c>
      <c r="E32" s="19">
        <v>3</v>
      </c>
      <c r="F32" s="19">
        <v>6</v>
      </c>
      <c r="G32" s="19">
        <v>48</v>
      </c>
      <c r="H32" s="19">
        <v>139</v>
      </c>
      <c r="I32" s="19">
        <v>171</v>
      </c>
      <c r="J32" s="19">
        <v>320</v>
      </c>
      <c r="K32" s="19">
        <v>321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6.149999999999999" customHeight="1" x14ac:dyDescent="0.35">
      <c r="A33" s="14" t="s">
        <v>85</v>
      </c>
      <c r="B33" s="15">
        <v>27</v>
      </c>
      <c r="C33" s="16">
        <v>44011</v>
      </c>
      <c r="D33" s="20">
        <f>SUM(weekly_all_cause_deaths_age_persons[[#This Row],[&lt;1]:[85+]])</f>
        <v>983</v>
      </c>
      <c r="E33" s="19">
        <v>2</v>
      </c>
      <c r="F33" s="19">
        <v>0</v>
      </c>
      <c r="G33" s="19">
        <v>53</v>
      </c>
      <c r="H33" s="19">
        <v>161</v>
      </c>
      <c r="I33" s="19">
        <v>190</v>
      </c>
      <c r="J33" s="19">
        <v>279</v>
      </c>
      <c r="K33" s="19">
        <v>298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6.149999999999999" customHeight="1" x14ac:dyDescent="0.35">
      <c r="A34" s="14" t="s">
        <v>85</v>
      </c>
      <c r="B34" s="15">
        <v>28</v>
      </c>
      <c r="C34" s="16">
        <v>44018</v>
      </c>
      <c r="D34" s="20">
        <f>SUM(weekly_all_cause_deaths_age_persons[[#This Row],[&lt;1]:[85+]])</f>
        <v>977</v>
      </c>
      <c r="E34" s="19">
        <v>0</v>
      </c>
      <c r="F34" s="19">
        <v>3</v>
      </c>
      <c r="G34" s="19">
        <v>49</v>
      </c>
      <c r="H34" s="19">
        <v>147</v>
      </c>
      <c r="I34" s="19">
        <v>194</v>
      </c>
      <c r="J34" s="19">
        <v>277</v>
      </c>
      <c r="K34" s="19">
        <v>307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6.149999999999999" customHeight="1" x14ac:dyDescent="0.35">
      <c r="A35" s="14" t="s">
        <v>85</v>
      </c>
      <c r="B35" s="15">
        <v>29</v>
      </c>
      <c r="C35" s="16">
        <v>44025</v>
      </c>
      <c r="D35" s="3">
        <f>SUM(weekly_all_cause_deaths_age_persons[[#This Row],[&lt;1]:[85+]])</f>
        <v>1033</v>
      </c>
      <c r="E35" s="19">
        <v>6</v>
      </c>
      <c r="F35" s="19">
        <v>1</v>
      </c>
      <c r="G35" s="19">
        <v>47</v>
      </c>
      <c r="H35" s="19">
        <v>156</v>
      </c>
      <c r="I35" s="19">
        <v>191</v>
      </c>
      <c r="J35" s="19">
        <v>295</v>
      </c>
      <c r="K35" s="19">
        <v>337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6.149999999999999" customHeight="1" x14ac:dyDescent="0.35">
      <c r="A36" s="14" t="s">
        <v>85</v>
      </c>
      <c r="B36" s="15">
        <v>30</v>
      </c>
      <c r="C36" s="16">
        <v>44032</v>
      </c>
      <c r="D36" s="3">
        <f>SUM(weekly_all_cause_deaths_age_persons[[#This Row],[&lt;1]:[85+]])</f>
        <v>962</v>
      </c>
      <c r="E36" s="19">
        <v>1</v>
      </c>
      <c r="F36" s="19">
        <v>2</v>
      </c>
      <c r="G36" s="19">
        <v>50</v>
      </c>
      <c r="H36" s="19">
        <v>154</v>
      </c>
      <c r="I36" s="19">
        <v>161</v>
      </c>
      <c r="J36" s="19">
        <v>298</v>
      </c>
      <c r="K36" s="19">
        <v>296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6.149999999999999" customHeight="1" x14ac:dyDescent="0.35">
      <c r="A37" s="14" t="s">
        <v>85</v>
      </c>
      <c r="B37" s="15">
        <v>31</v>
      </c>
      <c r="C37" s="16">
        <v>44039</v>
      </c>
      <c r="D37" s="20">
        <f>SUM(weekly_all_cause_deaths_age_persons[[#This Row],[&lt;1]:[85+]])</f>
        <v>1043</v>
      </c>
      <c r="E37" s="19">
        <v>1</v>
      </c>
      <c r="F37" s="19">
        <v>3</v>
      </c>
      <c r="G37" s="19">
        <v>45</v>
      </c>
      <c r="H37" s="19">
        <v>175</v>
      </c>
      <c r="I37" s="19">
        <v>192</v>
      </c>
      <c r="J37" s="19">
        <v>309</v>
      </c>
      <c r="K37" s="19">
        <v>318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6.149999999999999" customHeight="1" x14ac:dyDescent="0.35">
      <c r="A38" s="14" t="s">
        <v>85</v>
      </c>
      <c r="B38" s="15">
        <v>32</v>
      </c>
      <c r="C38" s="16">
        <v>44046</v>
      </c>
      <c r="D38" s="20">
        <f>SUM(weekly_all_cause_deaths_age_persons[[#This Row],[&lt;1]:[85+]])</f>
        <v>1011</v>
      </c>
      <c r="E38" s="19">
        <v>0</v>
      </c>
      <c r="F38" s="19">
        <v>0</v>
      </c>
      <c r="G38" s="19">
        <v>49</v>
      </c>
      <c r="H38" s="19">
        <v>153</v>
      </c>
      <c r="I38" s="19">
        <v>208</v>
      </c>
      <c r="J38" s="19">
        <v>308</v>
      </c>
      <c r="K38" s="19">
        <v>293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6.149999999999999" customHeight="1" x14ac:dyDescent="0.35">
      <c r="A39" s="14" t="s">
        <v>85</v>
      </c>
      <c r="B39" s="15">
        <v>33</v>
      </c>
      <c r="C39" s="16">
        <v>44053</v>
      </c>
      <c r="D39" s="20">
        <f>SUM(weekly_all_cause_deaths_age_persons[[#This Row],[&lt;1]:[85+]])</f>
        <v>928</v>
      </c>
      <c r="E39" s="19">
        <v>2</v>
      </c>
      <c r="F39" s="19">
        <v>2</v>
      </c>
      <c r="G39" s="19">
        <v>53</v>
      </c>
      <c r="H39" s="19">
        <v>157</v>
      </c>
      <c r="I39" s="19">
        <v>189</v>
      </c>
      <c r="J39" s="19">
        <v>246</v>
      </c>
      <c r="K39" s="19">
        <v>279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6.149999999999999" customHeight="1" x14ac:dyDescent="0.35">
      <c r="A40" s="14" t="s">
        <v>85</v>
      </c>
      <c r="B40" s="15">
        <v>34</v>
      </c>
      <c r="C40" s="16">
        <v>44060</v>
      </c>
      <c r="D40" s="20">
        <f>SUM(weekly_all_cause_deaths_age_persons[[#This Row],[&lt;1]:[85+]])</f>
        <v>1046</v>
      </c>
      <c r="E40" s="19">
        <v>1</v>
      </c>
      <c r="F40" s="19">
        <v>2</v>
      </c>
      <c r="G40" s="19">
        <v>42</v>
      </c>
      <c r="H40" s="19">
        <v>158</v>
      </c>
      <c r="I40" s="19">
        <v>204</v>
      </c>
      <c r="J40" s="19">
        <v>318</v>
      </c>
      <c r="K40" s="19">
        <v>321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6.149999999999999" customHeight="1" x14ac:dyDescent="0.35">
      <c r="A41" s="14" t="s">
        <v>85</v>
      </c>
      <c r="B41" s="15">
        <v>35</v>
      </c>
      <c r="C41" s="16">
        <v>44067</v>
      </c>
      <c r="D41" s="20">
        <f>SUM(weekly_all_cause_deaths_age_persons[[#This Row],[&lt;1]:[85+]])</f>
        <v>1030</v>
      </c>
      <c r="E41" s="19">
        <v>5</v>
      </c>
      <c r="F41" s="19">
        <v>0</v>
      </c>
      <c r="G41" s="19">
        <v>46</v>
      </c>
      <c r="H41" s="19">
        <v>166</v>
      </c>
      <c r="I41" s="19">
        <v>212</v>
      </c>
      <c r="J41" s="19">
        <v>299</v>
      </c>
      <c r="K41" s="19">
        <v>302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6.149999999999999" customHeight="1" x14ac:dyDescent="0.35">
      <c r="A42" s="14" t="s">
        <v>85</v>
      </c>
      <c r="B42" s="15">
        <v>36</v>
      </c>
      <c r="C42" s="16">
        <v>44074</v>
      </c>
      <c r="D42" s="20">
        <f>SUM(weekly_all_cause_deaths_age_persons[[#This Row],[&lt;1]:[85+]])</f>
        <v>1050</v>
      </c>
      <c r="E42" s="19">
        <v>1</v>
      </c>
      <c r="F42" s="19">
        <v>2</v>
      </c>
      <c r="G42" s="19">
        <v>48</v>
      </c>
      <c r="H42" s="19">
        <v>172</v>
      </c>
      <c r="I42" s="19">
        <v>221</v>
      </c>
      <c r="J42" s="19">
        <v>295</v>
      </c>
      <c r="K42" s="19">
        <v>311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6.149999999999999" customHeight="1" x14ac:dyDescent="0.35">
      <c r="A43" s="14" t="s">
        <v>85</v>
      </c>
      <c r="B43" s="15">
        <v>37</v>
      </c>
      <c r="C43" s="16">
        <v>44081</v>
      </c>
      <c r="D43" s="20">
        <f>SUM(weekly_all_cause_deaths_age_persons[[#This Row],[&lt;1]:[85+]])</f>
        <v>1069</v>
      </c>
      <c r="E43" s="19">
        <v>2</v>
      </c>
      <c r="F43" s="19">
        <v>0</v>
      </c>
      <c r="G43" s="19">
        <v>44</v>
      </c>
      <c r="H43" s="19">
        <v>156</v>
      </c>
      <c r="I43" s="19">
        <v>206</v>
      </c>
      <c r="J43" s="19">
        <v>321</v>
      </c>
      <c r="K43" s="19">
        <v>340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6.149999999999999" customHeight="1" x14ac:dyDescent="0.35">
      <c r="A44" s="14" t="s">
        <v>85</v>
      </c>
      <c r="B44" s="15">
        <v>38</v>
      </c>
      <c r="C44" s="16">
        <v>44088</v>
      </c>
      <c r="D44" s="21">
        <f>SUM(weekly_all_cause_deaths_age_persons[[#This Row],[&lt;1]:[85+]])</f>
        <v>952</v>
      </c>
      <c r="E44" s="19">
        <v>6</v>
      </c>
      <c r="F44" s="19">
        <v>1</v>
      </c>
      <c r="G44" s="19">
        <v>40</v>
      </c>
      <c r="H44" s="19">
        <v>154</v>
      </c>
      <c r="I44" s="19">
        <v>174</v>
      </c>
      <c r="J44" s="19">
        <v>269</v>
      </c>
      <c r="K44" s="19">
        <v>308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6.149999999999999" customHeight="1" x14ac:dyDescent="0.35">
      <c r="A45" s="14" t="s">
        <v>85</v>
      </c>
      <c r="B45" s="15">
        <v>39</v>
      </c>
      <c r="C45" s="16">
        <v>44095</v>
      </c>
      <c r="D45" s="20">
        <f>SUM(weekly_all_cause_deaths_age_persons[[#This Row],[&lt;1]:[85+]])</f>
        <v>933</v>
      </c>
      <c r="E45" s="19">
        <v>6</v>
      </c>
      <c r="F45" s="19">
        <v>0</v>
      </c>
      <c r="G45" s="19">
        <v>37</v>
      </c>
      <c r="H45" s="19">
        <v>138</v>
      </c>
      <c r="I45" s="19">
        <v>169</v>
      </c>
      <c r="J45" s="19">
        <v>265</v>
      </c>
      <c r="K45" s="19">
        <v>318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6.149999999999999" customHeight="1" x14ac:dyDescent="0.35">
      <c r="A46" s="14" t="s">
        <v>85</v>
      </c>
      <c r="B46" s="15">
        <v>40</v>
      </c>
      <c r="C46" s="16">
        <v>44102</v>
      </c>
      <c r="D46" s="20">
        <f>SUM(weekly_all_cause_deaths_age_persons[[#This Row],[&lt;1]:[85+]])</f>
        <v>1196</v>
      </c>
      <c r="E46" s="19">
        <v>4</v>
      </c>
      <c r="F46" s="19">
        <v>2</v>
      </c>
      <c r="G46" s="19">
        <v>46</v>
      </c>
      <c r="H46" s="19">
        <v>199</v>
      </c>
      <c r="I46" s="19">
        <v>221</v>
      </c>
      <c r="J46" s="19">
        <v>343</v>
      </c>
      <c r="K46" s="19">
        <v>381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6.149999999999999" customHeight="1" x14ac:dyDescent="0.35">
      <c r="A47" s="14" t="s">
        <v>85</v>
      </c>
      <c r="B47" s="15">
        <v>41</v>
      </c>
      <c r="C47" s="16">
        <v>44109</v>
      </c>
      <c r="D47" s="20">
        <f>SUM(weekly_all_cause_deaths_age_persons[[#This Row],[&lt;1]:[85+]])</f>
        <v>1072</v>
      </c>
      <c r="E47" s="19">
        <v>1</v>
      </c>
      <c r="F47" s="19">
        <v>1</v>
      </c>
      <c r="G47" s="19">
        <v>42</v>
      </c>
      <c r="H47" s="19">
        <v>147</v>
      </c>
      <c r="I47" s="19">
        <v>166</v>
      </c>
      <c r="J47" s="19">
        <v>338</v>
      </c>
      <c r="K47" s="19">
        <v>377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6.149999999999999" customHeight="1" x14ac:dyDescent="0.35">
      <c r="A48" s="14" t="s">
        <v>85</v>
      </c>
      <c r="B48" s="15">
        <v>42</v>
      </c>
      <c r="C48" s="16">
        <v>44116</v>
      </c>
      <c r="D48" s="20">
        <f>SUM(weekly_all_cause_deaths_age_persons[[#This Row],[&lt;1]:[85+]])</f>
        <v>1134</v>
      </c>
      <c r="E48" s="19">
        <v>1</v>
      </c>
      <c r="F48" s="19">
        <v>0</v>
      </c>
      <c r="G48" s="19">
        <v>40</v>
      </c>
      <c r="H48" s="19">
        <v>148</v>
      </c>
      <c r="I48" s="19">
        <v>193</v>
      </c>
      <c r="J48" s="19">
        <v>378</v>
      </c>
      <c r="K48" s="19">
        <v>374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6.149999999999999" customHeight="1" x14ac:dyDescent="0.35">
      <c r="A49" s="14" t="s">
        <v>85</v>
      </c>
      <c r="B49" s="15">
        <v>43</v>
      </c>
      <c r="C49" s="16">
        <v>44123</v>
      </c>
      <c r="D49" s="20">
        <f>SUM(weekly_all_cause_deaths_age_persons[[#This Row],[&lt;1]:[85+]])</f>
        <v>1187</v>
      </c>
      <c r="E49" s="19">
        <v>4</v>
      </c>
      <c r="F49" s="19">
        <v>0</v>
      </c>
      <c r="G49" s="19">
        <v>52</v>
      </c>
      <c r="H49" s="19">
        <v>184</v>
      </c>
      <c r="I49" s="19">
        <v>241</v>
      </c>
      <c r="J49" s="19">
        <v>336</v>
      </c>
      <c r="K49" s="19">
        <v>370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6.149999999999999" customHeight="1" x14ac:dyDescent="0.35">
      <c r="A50" s="14" t="s">
        <v>85</v>
      </c>
      <c r="B50" s="15">
        <v>44</v>
      </c>
      <c r="C50" s="16">
        <v>44130</v>
      </c>
      <c r="D50" s="21">
        <f>SUM(weekly_all_cause_deaths_age_persons[[#This Row],[&lt;1]:[85+]])</f>
        <v>1262</v>
      </c>
      <c r="E50" s="25">
        <v>1</v>
      </c>
      <c r="F50" s="25">
        <v>3</v>
      </c>
      <c r="G50" s="25">
        <v>39</v>
      </c>
      <c r="H50" s="25">
        <v>172</v>
      </c>
      <c r="I50" s="25">
        <v>243</v>
      </c>
      <c r="J50" s="25">
        <v>393</v>
      </c>
      <c r="K50" s="25">
        <v>411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6.149999999999999" customHeight="1" x14ac:dyDescent="0.35">
      <c r="A51" s="14" t="s">
        <v>85</v>
      </c>
      <c r="B51" s="15">
        <v>45</v>
      </c>
      <c r="C51" s="16">
        <v>44137</v>
      </c>
      <c r="D51" s="20">
        <f>SUM(weekly_all_cause_deaths_age_persons[[#This Row],[&lt;1]:[85+]])</f>
        <v>1250</v>
      </c>
      <c r="E51" s="19">
        <v>4</v>
      </c>
      <c r="F51" s="19">
        <v>3</v>
      </c>
      <c r="G51" s="19">
        <v>53</v>
      </c>
      <c r="H51" s="19">
        <v>170</v>
      </c>
      <c r="I51" s="19">
        <v>229</v>
      </c>
      <c r="J51" s="19">
        <v>372</v>
      </c>
      <c r="K51" s="19">
        <v>419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6.149999999999999" customHeight="1" x14ac:dyDescent="0.35">
      <c r="A52" s="14" t="s">
        <v>85</v>
      </c>
      <c r="B52" s="15">
        <v>46</v>
      </c>
      <c r="C52" s="16">
        <v>44144</v>
      </c>
      <c r="D52" s="3">
        <f>SUM(weekly_all_cause_deaths_age_persons[[#This Row],[&lt;1]:[85+]])</f>
        <v>1338</v>
      </c>
      <c r="E52" s="19">
        <v>4</v>
      </c>
      <c r="F52" s="19">
        <v>2</v>
      </c>
      <c r="G52" s="19">
        <v>31</v>
      </c>
      <c r="H52" s="19">
        <v>207</v>
      </c>
      <c r="I52" s="19">
        <v>238</v>
      </c>
      <c r="J52" s="19">
        <v>409</v>
      </c>
      <c r="K52" s="19">
        <v>447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6.149999999999999" customHeight="1" x14ac:dyDescent="0.35">
      <c r="A53" s="14" t="s">
        <v>85</v>
      </c>
      <c r="B53" s="15">
        <v>47</v>
      </c>
      <c r="C53" s="16">
        <v>44151</v>
      </c>
      <c r="D53" s="21">
        <f>SUM(weekly_all_cause_deaths_age_persons[[#This Row],[&lt;1]:[85+]])</f>
        <v>1360</v>
      </c>
      <c r="E53" s="25">
        <v>2</v>
      </c>
      <c r="F53" s="25">
        <v>0</v>
      </c>
      <c r="G53" s="25">
        <v>37</v>
      </c>
      <c r="H53" s="25">
        <v>190</v>
      </c>
      <c r="I53" s="25">
        <v>250</v>
      </c>
      <c r="J53" s="25">
        <v>351</v>
      </c>
      <c r="K53" s="25">
        <v>530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6.149999999999999" customHeight="1" x14ac:dyDescent="0.35">
      <c r="A54" s="14" t="s">
        <v>85</v>
      </c>
      <c r="B54" s="15">
        <v>48</v>
      </c>
      <c r="C54" s="16">
        <v>44158</v>
      </c>
      <c r="D54" s="21">
        <f>SUM(weekly_all_cause_deaths_age_persons[[#This Row],[&lt;1]:[85+]])</f>
        <v>1329</v>
      </c>
      <c r="E54" s="52">
        <v>6</v>
      </c>
      <c r="F54" s="52">
        <v>2</v>
      </c>
      <c r="G54" s="52">
        <v>43</v>
      </c>
      <c r="H54" s="52">
        <v>199</v>
      </c>
      <c r="I54" s="52">
        <v>248</v>
      </c>
      <c r="J54" s="52">
        <v>390</v>
      </c>
      <c r="K54" s="52">
        <v>441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6.149999999999999" customHeight="1" x14ac:dyDescent="0.35">
      <c r="A55" s="14" t="s">
        <v>85</v>
      </c>
      <c r="B55" s="15">
        <v>49</v>
      </c>
      <c r="C55" s="16">
        <v>44165</v>
      </c>
      <c r="D55" s="21">
        <f>SUM(weekly_all_cause_deaths_age_persons[[#This Row],[&lt;1]:[85+]])</f>
        <v>1296</v>
      </c>
      <c r="E55" s="52">
        <v>3</v>
      </c>
      <c r="F55" s="52">
        <v>1</v>
      </c>
      <c r="G55" s="52">
        <v>40</v>
      </c>
      <c r="H55" s="52">
        <v>184</v>
      </c>
      <c r="I55" s="52">
        <v>263</v>
      </c>
      <c r="J55" s="52">
        <v>368</v>
      </c>
      <c r="K55" s="52">
        <v>437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6.149999999999999" customHeight="1" x14ac:dyDescent="0.35">
      <c r="A56" s="14" t="s">
        <v>85</v>
      </c>
      <c r="B56" s="15">
        <v>50</v>
      </c>
      <c r="C56" s="16">
        <v>44172</v>
      </c>
      <c r="D56" s="21">
        <f>SUM(weekly_all_cause_deaths_age_persons[[#This Row],[&lt;1]:[85+]])</f>
        <v>1284</v>
      </c>
      <c r="E56" s="52">
        <v>0</v>
      </c>
      <c r="F56" s="52">
        <v>0</v>
      </c>
      <c r="G56" s="52">
        <v>41</v>
      </c>
      <c r="H56" s="52">
        <v>175</v>
      </c>
      <c r="I56" s="52">
        <v>238</v>
      </c>
      <c r="J56" s="52">
        <v>377</v>
      </c>
      <c r="K56" s="52">
        <v>453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6.149999999999999" customHeight="1" x14ac:dyDescent="0.35">
      <c r="A57" s="14" t="s">
        <v>85</v>
      </c>
      <c r="B57" s="15">
        <v>51</v>
      </c>
      <c r="C57" s="16">
        <v>44179</v>
      </c>
      <c r="D57" s="21">
        <f>SUM(weekly_all_cause_deaths_age_persons[[#This Row],[&lt;1]:[85+]])</f>
        <v>1297</v>
      </c>
      <c r="E57" s="52">
        <v>2</v>
      </c>
      <c r="F57" s="52">
        <v>2</v>
      </c>
      <c r="G57" s="52">
        <v>38</v>
      </c>
      <c r="H57" s="52">
        <v>188</v>
      </c>
      <c r="I57" s="52">
        <v>219</v>
      </c>
      <c r="J57" s="52">
        <v>386</v>
      </c>
      <c r="K57" s="52">
        <v>462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6.149999999999999" customHeight="1" x14ac:dyDescent="0.35">
      <c r="A58" s="14" t="s">
        <v>85</v>
      </c>
      <c r="B58" s="15">
        <v>52</v>
      </c>
      <c r="C58" s="16">
        <v>44186</v>
      </c>
      <c r="D58" s="21">
        <f>SUM(weekly_all_cause_deaths_age_persons[[#This Row],[&lt;1]:[85+]])</f>
        <v>1205</v>
      </c>
      <c r="E58" s="52">
        <v>1</v>
      </c>
      <c r="F58" s="52">
        <v>0</v>
      </c>
      <c r="G58" s="52">
        <v>46</v>
      </c>
      <c r="H58" s="52">
        <v>193</v>
      </c>
      <c r="I58" s="52">
        <v>226</v>
      </c>
      <c r="J58" s="52">
        <v>362</v>
      </c>
      <c r="K58" s="52">
        <v>377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6.149999999999999" customHeight="1" x14ac:dyDescent="0.35">
      <c r="A59" s="11" t="s">
        <v>85</v>
      </c>
      <c r="B59" s="15">
        <v>53</v>
      </c>
      <c r="C59" s="16">
        <v>44193</v>
      </c>
      <c r="D59" s="21">
        <f>SUM(weekly_all_cause_deaths_age_persons[[#This Row],[&lt;1]:[85+]])</f>
        <v>1178</v>
      </c>
      <c r="E59" s="52">
        <v>3</v>
      </c>
      <c r="F59" s="52">
        <v>3</v>
      </c>
      <c r="G59" s="52">
        <v>28</v>
      </c>
      <c r="H59" s="52">
        <v>140</v>
      </c>
      <c r="I59" s="52">
        <v>217</v>
      </c>
      <c r="J59" s="52">
        <v>378</v>
      </c>
      <c r="K59" s="52">
        <v>409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x14ac:dyDescent="0.35">
      <c r="A60" s="68" t="s">
        <v>179</v>
      </c>
      <c r="B60" s="69" t="s">
        <v>179</v>
      </c>
      <c r="C60" s="69" t="s">
        <v>179</v>
      </c>
      <c r="D60" s="70">
        <f>SUBTOTAL(109,weekly_all_cause_deaths_age_persons[All ages])</f>
        <v>64823</v>
      </c>
      <c r="E60" s="71">
        <f>SUBTOTAL(109,weekly_all_cause_deaths_age_persons[&lt;1])</f>
        <v>148</v>
      </c>
      <c r="F60" s="71">
        <f>SUBTOTAL(109,weekly_all_cause_deaths_age_persons[1-14])</f>
        <v>80</v>
      </c>
      <c r="G60" s="71">
        <f>SUBTOTAL(109,weekly_all_cause_deaths_age_persons[15-44])</f>
        <v>2362</v>
      </c>
      <c r="H60" s="71">
        <f>SUBTOTAL(109,weekly_all_cause_deaths_age_persons[45-64])</f>
        <v>9219</v>
      </c>
      <c r="I60" s="71">
        <f>SUBTOTAL(109,weekly_all_cause_deaths_age_persons[65-74])</f>
        <v>11808</v>
      </c>
      <c r="J60" s="71">
        <f>SUBTOTAL(109,weekly_all_cause_deaths_age_persons[75-84])</f>
        <v>19302</v>
      </c>
      <c r="K60" s="71">
        <f>SUBTOTAL(109,weekly_all_cause_deaths_age_persons[85+])</f>
        <v>21904</v>
      </c>
    </row>
    <row r="62" spans="1:22" s="62" customFormat="1" x14ac:dyDescent="0.35">
      <c r="A62" s="22" t="s">
        <v>155</v>
      </c>
      <c r="B62" s="23"/>
      <c r="C62" s="5"/>
      <c r="D62" s="5"/>
      <c r="E62" s="24"/>
      <c r="F62" s="24"/>
      <c r="G62" s="5"/>
      <c r="H62" s="5"/>
      <c r="I62" s="5"/>
      <c r="J62" s="5"/>
      <c r="K62" s="5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31.5" thickBot="1" x14ac:dyDescent="0.4">
      <c r="A63" s="9" t="s">
        <v>63</v>
      </c>
      <c r="B63" s="13" t="s">
        <v>57</v>
      </c>
      <c r="C63" s="13" t="s">
        <v>58</v>
      </c>
      <c r="D63" s="8" t="s">
        <v>61</v>
      </c>
      <c r="E63" s="9" t="s">
        <v>62</v>
      </c>
      <c r="F63" s="9" t="s">
        <v>64</v>
      </c>
      <c r="G63" s="9" t="s">
        <v>65</v>
      </c>
      <c r="H63" s="9" t="s">
        <v>132</v>
      </c>
      <c r="I63" s="9" t="s">
        <v>66</v>
      </c>
      <c r="J63" s="9" t="s">
        <v>67</v>
      </c>
      <c r="K63" s="9" t="s">
        <v>68</v>
      </c>
    </row>
    <row r="64" spans="1:22" x14ac:dyDescent="0.35">
      <c r="A64" s="14" t="s">
        <v>85</v>
      </c>
      <c r="B64" s="15">
        <v>1</v>
      </c>
      <c r="C64" s="16">
        <v>43829</v>
      </c>
      <c r="D64" s="17">
        <f>SUM(weekly_all_cause_deaths_age_females[[#This Row],[&lt;1]:[85+]])</f>
        <v>616</v>
      </c>
      <c r="E64" s="1">
        <v>1</v>
      </c>
      <c r="F64" s="1">
        <v>1</v>
      </c>
      <c r="G64" s="1">
        <v>11</v>
      </c>
      <c r="H64" s="1">
        <v>61</v>
      </c>
      <c r="I64" s="1">
        <v>81</v>
      </c>
      <c r="J64" s="1">
        <v>195</v>
      </c>
      <c r="K64" s="1">
        <v>266</v>
      </c>
    </row>
    <row r="65" spans="1:11" x14ac:dyDescent="0.35">
      <c r="A65" s="14" t="s">
        <v>85</v>
      </c>
      <c r="B65" s="15">
        <v>2</v>
      </c>
      <c r="C65" s="16">
        <v>43836</v>
      </c>
      <c r="D65" s="3">
        <f>SUM(weekly_all_cause_deaths_age_females[[#This Row],[&lt;1]:[85+]])</f>
        <v>817</v>
      </c>
      <c r="E65" s="2">
        <v>0</v>
      </c>
      <c r="F65" s="2">
        <v>1</v>
      </c>
      <c r="G65" s="2">
        <v>17</v>
      </c>
      <c r="H65" s="2">
        <v>95</v>
      </c>
      <c r="I65" s="2">
        <v>127</v>
      </c>
      <c r="J65" s="2">
        <v>220</v>
      </c>
      <c r="K65" s="2">
        <v>357</v>
      </c>
    </row>
    <row r="66" spans="1:11" x14ac:dyDescent="0.35">
      <c r="A66" s="14" t="s">
        <v>85</v>
      </c>
      <c r="B66" s="15">
        <v>3</v>
      </c>
      <c r="C66" s="16">
        <v>43843</v>
      </c>
      <c r="D66" s="3">
        <f>SUM(weekly_all_cause_deaths_age_females[[#This Row],[&lt;1]:[85+]])</f>
        <v>671</v>
      </c>
      <c r="E66" s="2">
        <v>1</v>
      </c>
      <c r="F66" s="2">
        <v>0</v>
      </c>
      <c r="G66" s="2">
        <v>9</v>
      </c>
      <c r="H66" s="2">
        <v>80</v>
      </c>
      <c r="I66" s="2">
        <v>107</v>
      </c>
      <c r="J66" s="2">
        <v>186</v>
      </c>
      <c r="K66" s="2">
        <v>288</v>
      </c>
    </row>
    <row r="67" spans="1:11" x14ac:dyDescent="0.35">
      <c r="A67" s="14" t="s">
        <v>85</v>
      </c>
      <c r="B67" s="15">
        <v>4</v>
      </c>
      <c r="C67" s="16">
        <v>43850</v>
      </c>
      <c r="D67" s="3">
        <f>SUM(weekly_all_cause_deaths_age_females[[#This Row],[&lt;1]:[85+]])</f>
        <v>627</v>
      </c>
      <c r="E67" s="2">
        <v>1</v>
      </c>
      <c r="F67" s="2">
        <v>0</v>
      </c>
      <c r="G67" s="2">
        <v>14</v>
      </c>
      <c r="H67" s="2">
        <v>80</v>
      </c>
      <c r="I67" s="2">
        <v>104</v>
      </c>
      <c r="J67" s="2">
        <v>155</v>
      </c>
      <c r="K67" s="2">
        <v>273</v>
      </c>
    </row>
    <row r="68" spans="1:11" x14ac:dyDescent="0.35">
      <c r="A68" s="14" t="s">
        <v>85</v>
      </c>
      <c r="B68" s="15">
        <v>5</v>
      </c>
      <c r="C68" s="16">
        <v>43857</v>
      </c>
      <c r="D68" s="3">
        <f>SUM(weekly_all_cause_deaths_age_females[[#This Row],[&lt;1]:[85+]])</f>
        <v>580</v>
      </c>
      <c r="E68" s="2">
        <v>2</v>
      </c>
      <c r="F68" s="2">
        <v>2</v>
      </c>
      <c r="G68" s="2">
        <v>12</v>
      </c>
      <c r="H68" s="2">
        <v>63</v>
      </c>
      <c r="I68" s="2">
        <v>96</v>
      </c>
      <c r="J68" s="2">
        <v>173</v>
      </c>
      <c r="K68" s="2">
        <v>232</v>
      </c>
    </row>
    <row r="69" spans="1:11" x14ac:dyDescent="0.35">
      <c r="A69" s="14" t="s">
        <v>85</v>
      </c>
      <c r="B69" s="15">
        <v>6</v>
      </c>
      <c r="C69" s="16">
        <v>43864</v>
      </c>
      <c r="D69" s="3">
        <f>SUM(weekly_all_cause_deaths_age_females[[#This Row],[&lt;1]:[85+]])</f>
        <v>616</v>
      </c>
      <c r="E69" s="2">
        <v>1</v>
      </c>
      <c r="F69" s="2">
        <v>2</v>
      </c>
      <c r="G69" s="2">
        <v>15</v>
      </c>
      <c r="H69" s="2">
        <v>64</v>
      </c>
      <c r="I69" s="2">
        <v>92</v>
      </c>
      <c r="J69" s="2">
        <v>191</v>
      </c>
      <c r="K69" s="2">
        <v>251</v>
      </c>
    </row>
    <row r="70" spans="1:11" x14ac:dyDescent="0.35">
      <c r="A70" s="14" t="s">
        <v>85</v>
      </c>
      <c r="B70" s="15">
        <v>7</v>
      </c>
      <c r="C70" s="16">
        <v>43871</v>
      </c>
      <c r="D70" s="3">
        <f>SUM(weekly_all_cause_deaths_age_females[[#This Row],[&lt;1]:[85+]])</f>
        <v>544</v>
      </c>
      <c r="E70" s="2">
        <v>0</v>
      </c>
      <c r="F70" s="2">
        <v>0</v>
      </c>
      <c r="G70" s="2">
        <v>8</v>
      </c>
      <c r="H70" s="2">
        <v>64</v>
      </c>
      <c r="I70" s="2">
        <v>96</v>
      </c>
      <c r="J70" s="2">
        <v>143</v>
      </c>
      <c r="K70" s="2">
        <v>233</v>
      </c>
    </row>
    <row r="71" spans="1:11" x14ac:dyDescent="0.35">
      <c r="A71" s="14" t="s">
        <v>85</v>
      </c>
      <c r="B71" s="15">
        <v>8</v>
      </c>
      <c r="C71" s="16">
        <v>43878</v>
      </c>
      <c r="D71" s="3">
        <f>SUM(weekly_all_cause_deaths_age_females[[#This Row],[&lt;1]:[85+]])</f>
        <v>598</v>
      </c>
      <c r="E71" s="2">
        <v>1</v>
      </c>
      <c r="F71" s="2">
        <v>1</v>
      </c>
      <c r="G71" s="2">
        <v>17</v>
      </c>
      <c r="H71" s="2">
        <v>65</v>
      </c>
      <c r="I71" s="2">
        <v>101</v>
      </c>
      <c r="J71" s="2">
        <v>174</v>
      </c>
      <c r="K71" s="2">
        <v>239</v>
      </c>
    </row>
    <row r="72" spans="1:11" x14ac:dyDescent="0.35">
      <c r="A72" s="14" t="s">
        <v>85</v>
      </c>
      <c r="B72" s="15">
        <v>9</v>
      </c>
      <c r="C72" s="16">
        <v>43885</v>
      </c>
      <c r="D72" s="3">
        <f>SUM(weekly_all_cause_deaths_age_females[[#This Row],[&lt;1]:[85+]])</f>
        <v>591</v>
      </c>
      <c r="E72" s="2">
        <v>0</v>
      </c>
      <c r="F72" s="2">
        <v>2</v>
      </c>
      <c r="G72" s="2">
        <v>16</v>
      </c>
      <c r="H72" s="2">
        <v>73</v>
      </c>
      <c r="I72" s="2">
        <v>95</v>
      </c>
      <c r="J72" s="2">
        <v>152</v>
      </c>
      <c r="K72" s="2">
        <v>253</v>
      </c>
    </row>
    <row r="73" spans="1:11" x14ac:dyDescent="0.35">
      <c r="A73" s="14" t="s">
        <v>85</v>
      </c>
      <c r="B73" s="15">
        <v>10</v>
      </c>
      <c r="C73" s="16">
        <v>43892</v>
      </c>
      <c r="D73" s="3">
        <f>SUM(weekly_all_cause_deaths_age_females[[#This Row],[&lt;1]:[85+]])</f>
        <v>623</v>
      </c>
      <c r="E73" s="2">
        <v>3</v>
      </c>
      <c r="F73" s="2">
        <v>0</v>
      </c>
      <c r="G73" s="2">
        <v>21</v>
      </c>
      <c r="H73" s="2">
        <v>71</v>
      </c>
      <c r="I73" s="2">
        <v>86</v>
      </c>
      <c r="J73" s="2">
        <v>178</v>
      </c>
      <c r="K73" s="2">
        <v>264</v>
      </c>
    </row>
    <row r="74" spans="1:11" x14ac:dyDescent="0.35">
      <c r="A74" s="14" t="s">
        <v>85</v>
      </c>
      <c r="B74" s="15">
        <v>11</v>
      </c>
      <c r="C74" s="16">
        <v>43899</v>
      </c>
      <c r="D74" s="3">
        <f>SUM(weekly_all_cause_deaths_age_females[[#This Row],[&lt;1]:[85+]])</f>
        <v>589</v>
      </c>
      <c r="E74" s="2">
        <v>3</v>
      </c>
      <c r="F74" s="2">
        <v>0</v>
      </c>
      <c r="G74" s="2">
        <v>25</v>
      </c>
      <c r="H74" s="2">
        <v>76</v>
      </c>
      <c r="I74" s="2">
        <v>87</v>
      </c>
      <c r="J74" s="2">
        <v>163</v>
      </c>
      <c r="K74" s="2">
        <v>235</v>
      </c>
    </row>
    <row r="75" spans="1:11" x14ac:dyDescent="0.35">
      <c r="A75" s="14" t="s">
        <v>85</v>
      </c>
      <c r="B75" s="15">
        <v>12</v>
      </c>
      <c r="C75" s="16">
        <v>43906</v>
      </c>
      <c r="D75" s="3">
        <f>SUM(weekly_all_cause_deaths_age_females[[#This Row],[&lt;1]:[85+]])</f>
        <v>580</v>
      </c>
      <c r="E75" s="2">
        <v>3</v>
      </c>
      <c r="F75" s="2">
        <v>0</v>
      </c>
      <c r="G75" s="2">
        <v>11</v>
      </c>
      <c r="H75" s="2">
        <v>81</v>
      </c>
      <c r="I75" s="2">
        <v>91</v>
      </c>
      <c r="J75" s="2">
        <v>171</v>
      </c>
      <c r="K75" s="2">
        <v>223</v>
      </c>
    </row>
    <row r="76" spans="1:11" x14ac:dyDescent="0.35">
      <c r="A76" s="14" t="s">
        <v>85</v>
      </c>
      <c r="B76" s="15">
        <v>13</v>
      </c>
      <c r="C76" s="16">
        <v>43913</v>
      </c>
      <c r="D76" s="3">
        <f>SUM(weekly_all_cause_deaths_age_females[[#This Row],[&lt;1]:[85+]])</f>
        <v>578</v>
      </c>
      <c r="E76" s="2">
        <v>4</v>
      </c>
      <c r="F76" s="2">
        <v>0</v>
      </c>
      <c r="G76" s="2">
        <v>10</v>
      </c>
      <c r="H76" s="2">
        <v>56</v>
      </c>
      <c r="I76" s="2">
        <v>89</v>
      </c>
      <c r="J76" s="2">
        <v>171</v>
      </c>
      <c r="K76" s="2">
        <v>248</v>
      </c>
    </row>
    <row r="77" spans="1:11" x14ac:dyDescent="0.35">
      <c r="A77" s="14" t="s">
        <v>85</v>
      </c>
      <c r="B77" s="15">
        <v>14</v>
      </c>
      <c r="C77" s="16">
        <v>43920</v>
      </c>
      <c r="D77" s="3">
        <f>SUM(weekly_all_cause_deaths_age_females[[#This Row],[&lt;1]:[85+]])</f>
        <v>837</v>
      </c>
      <c r="E77" s="25">
        <v>2</v>
      </c>
      <c r="F77" s="25">
        <v>1</v>
      </c>
      <c r="G77" s="25">
        <v>18</v>
      </c>
      <c r="H77" s="25">
        <v>101</v>
      </c>
      <c r="I77" s="25">
        <v>127</v>
      </c>
      <c r="J77" s="25">
        <v>251</v>
      </c>
      <c r="K77" s="25">
        <v>337</v>
      </c>
    </row>
    <row r="78" spans="1:11" x14ac:dyDescent="0.35">
      <c r="A78" s="14" t="s">
        <v>85</v>
      </c>
      <c r="B78" s="15">
        <v>15</v>
      </c>
      <c r="C78" s="16">
        <v>43927</v>
      </c>
      <c r="D78" s="3">
        <f>SUM(weekly_all_cause_deaths_age_females[[#This Row],[&lt;1]:[85+]])</f>
        <v>926</v>
      </c>
      <c r="E78" s="19">
        <v>1</v>
      </c>
      <c r="F78" s="19">
        <v>1</v>
      </c>
      <c r="G78" s="19">
        <v>22</v>
      </c>
      <c r="H78" s="19">
        <v>78</v>
      </c>
      <c r="I78" s="19">
        <v>122</v>
      </c>
      <c r="J78" s="19">
        <v>300</v>
      </c>
      <c r="K78" s="19">
        <v>402</v>
      </c>
    </row>
    <row r="79" spans="1:11" x14ac:dyDescent="0.35">
      <c r="A79" s="14" t="s">
        <v>85</v>
      </c>
      <c r="B79" s="15">
        <v>16</v>
      </c>
      <c r="C79" s="16">
        <v>43934</v>
      </c>
      <c r="D79" s="3">
        <f>SUM(weekly_all_cause_deaths_age_females[[#This Row],[&lt;1]:[85+]])</f>
        <v>938</v>
      </c>
      <c r="E79" s="19">
        <v>3</v>
      </c>
      <c r="F79" s="19">
        <v>0</v>
      </c>
      <c r="G79" s="19">
        <v>15</v>
      </c>
      <c r="H79" s="19">
        <v>75</v>
      </c>
      <c r="I79" s="19">
        <v>115</v>
      </c>
      <c r="J79" s="19">
        <v>283</v>
      </c>
      <c r="K79" s="19">
        <v>447</v>
      </c>
    </row>
    <row r="80" spans="1:11" x14ac:dyDescent="0.35">
      <c r="A80" s="14" t="s">
        <v>85</v>
      </c>
      <c r="B80" s="15">
        <v>17</v>
      </c>
      <c r="C80" s="16">
        <v>43941</v>
      </c>
      <c r="D80" s="3">
        <f>SUM(weekly_all_cause_deaths_age_females[[#This Row],[&lt;1]:[85+]])</f>
        <v>961</v>
      </c>
      <c r="E80" s="19">
        <v>1</v>
      </c>
      <c r="F80" s="19">
        <v>0</v>
      </c>
      <c r="G80" s="19">
        <v>19</v>
      </c>
      <c r="H80" s="19">
        <v>84</v>
      </c>
      <c r="I80" s="19">
        <v>134</v>
      </c>
      <c r="J80" s="19">
        <v>285</v>
      </c>
      <c r="K80" s="19">
        <v>438</v>
      </c>
    </row>
    <row r="81" spans="1:11" x14ac:dyDescent="0.35">
      <c r="A81" s="14" t="s">
        <v>85</v>
      </c>
      <c r="B81" s="15">
        <v>18</v>
      </c>
      <c r="C81" s="16">
        <v>43948</v>
      </c>
      <c r="D81" s="20">
        <f>SUM(weekly_all_cause_deaths_age_females[[#This Row],[&lt;1]:[85+]])</f>
        <v>853</v>
      </c>
      <c r="E81" s="19">
        <v>1</v>
      </c>
      <c r="F81" s="19">
        <v>1</v>
      </c>
      <c r="G81" s="19">
        <v>16</v>
      </c>
      <c r="H81" s="19">
        <v>61</v>
      </c>
      <c r="I81" s="19">
        <v>126</v>
      </c>
      <c r="J81" s="19">
        <v>229</v>
      </c>
      <c r="K81" s="19">
        <v>419</v>
      </c>
    </row>
    <row r="82" spans="1:11" x14ac:dyDescent="0.35">
      <c r="A82" s="14" t="s">
        <v>85</v>
      </c>
      <c r="B82" s="15">
        <v>19</v>
      </c>
      <c r="C82" s="16">
        <v>43955</v>
      </c>
      <c r="D82" s="20">
        <f>SUM(weekly_all_cause_deaths_age_females[[#This Row],[&lt;1]:[85+]])</f>
        <v>745</v>
      </c>
      <c r="E82" s="19">
        <v>1</v>
      </c>
      <c r="F82" s="19">
        <v>0</v>
      </c>
      <c r="G82" s="19">
        <v>17</v>
      </c>
      <c r="H82" s="19">
        <v>80</v>
      </c>
      <c r="I82" s="19">
        <v>97</v>
      </c>
      <c r="J82" s="19">
        <v>245</v>
      </c>
      <c r="K82" s="19">
        <v>305</v>
      </c>
    </row>
    <row r="83" spans="1:11" x14ac:dyDescent="0.35">
      <c r="A83" s="14" t="s">
        <v>85</v>
      </c>
      <c r="B83" s="15">
        <v>20</v>
      </c>
      <c r="C83" s="16">
        <v>43962</v>
      </c>
      <c r="D83" s="20">
        <f>SUM(weekly_all_cause_deaths_age_females[[#This Row],[&lt;1]:[85+]])</f>
        <v>696</v>
      </c>
      <c r="E83" s="19">
        <v>2</v>
      </c>
      <c r="F83" s="19">
        <v>2</v>
      </c>
      <c r="G83" s="19">
        <v>16</v>
      </c>
      <c r="H83" s="19">
        <v>71</v>
      </c>
      <c r="I83" s="19">
        <v>98</v>
      </c>
      <c r="J83" s="19">
        <v>184</v>
      </c>
      <c r="K83" s="19">
        <v>323</v>
      </c>
    </row>
    <row r="84" spans="1:11" x14ac:dyDescent="0.35">
      <c r="A84" s="14" t="s">
        <v>85</v>
      </c>
      <c r="B84" s="15">
        <v>21</v>
      </c>
      <c r="C84" s="16">
        <v>43969</v>
      </c>
      <c r="D84" s="20">
        <f>SUM(weekly_all_cause_deaths_age_females[[#This Row],[&lt;1]:[85+]])</f>
        <v>636</v>
      </c>
      <c r="E84" s="19">
        <v>2</v>
      </c>
      <c r="F84" s="19">
        <v>0</v>
      </c>
      <c r="G84" s="19">
        <v>17</v>
      </c>
      <c r="H84" s="19">
        <v>68</v>
      </c>
      <c r="I84" s="19">
        <v>82</v>
      </c>
      <c r="J84" s="19">
        <v>174</v>
      </c>
      <c r="K84" s="19">
        <v>293</v>
      </c>
    </row>
    <row r="85" spans="1:11" x14ac:dyDescent="0.35">
      <c r="A85" s="14" t="s">
        <v>85</v>
      </c>
      <c r="B85" s="15">
        <v>22</v>
      </c>
      <c r="C85" s="16">
        <v>43976</v>
      </c>
      <c r="D85" s="21">
        <f>SUM(weekly_all_cause_deaths_age_females[[#This Row],[&lt;1]:[85+]])</f>
        <v>577</v>
      </c>
      <c r="E85" s="19">
        <v>0</v>
      </c>
      <c r="F85" s="19">
        <v>1</v>
      </c>
      <c r="G85" s="19">
        <v>18</v>
      </c>
      <c r="H85" s="19">
        <v>61</v>
      </c>
      <c r="I85" s="19">
        <v>81</v>
      </c>
      <c r="J85" s="19">
        <v>158</v>
      </c>
      <c r="K85" s="19">
        <v>258</v>
      </c>
    </row>
    <row r="86" spans="1:11" x14ac:dyDescent="0.35">
      <c r="A86" s="14" t="s">
        <v>85</v>
      </c>
      <c r="B86" s="15">
        <v>23</v>
      </c>
      <c r="C86" s="16">
        <v>43983</v>
      </c>
      <c r="D86" s="20">
        <f>SUM(weekly_all_cause_deaths_age_females[[#This Row],[&lt;1]:[85+]])</f>
        <v>516</v>
      </c>
      <c r="E86" s="19">
        <v>3</v>
      </c>
      <c r="F86" s="19">
        <v>0</v>
      </c>
      <c r="G86" s="19">
        <v>12</v>
      </c>
      <c r="H86" s="19">
        <v>47</v>
      </c>
      <c r="I86" s="19">
        <v>90</v>
      </c>
      <c r="J86" s="19">
        <v>164</v>
      </c>
      <c r="K86" s="19">
        <v>200</v>
      </c>
    </row>
    <row r="87" spans="1:11" x14ac:dyDescent="0.35">
      <c r="A87" s="14" t="s">
        <v>85</v>
      </c>
      <c r="B87" s="15">
        <v>24</v>
      </c>
      <c r="C87" s="16">
        <v>43990</v>
      </c>
      <c r="D87" s="20">
        <f>SUM(weekly_all_cause_deaths_age_females[[#This Row],[&lt;1]:[85+]])</f>
        <v>526</v>
      </c>
      <c r="E87" s="19">
        <v>1</v>
      </c>
      <c r="F87" s="19">
        <v>0</v>
      </c>
      <c r="G87" s="19">
        <v>16</v>
      </c>
      <c r="H87" s="19">
        <v>49</v>
      </c>
      <c r="I87" s="19">
        <v>92</v>
      </c>
      <c r="J87" s="19">
        <v>151</v>
      </c>
      <c r="K87" s="19">
        <v>217</v>
      </c>
    </row>
    <row r="88" spans="1:11" x14ac:dyDescent="0.35">
      <c r="A88" s="14" t="s">
        <v>85</v>
      </c>
      <c r="B88" s="15">
        <v>25</v>
      </c>
      <c r="C88" s="16">
        <v>43997</v>
      </c>
      <c r="D88" s="20">
        <f>SUM(weekly_all_cause_deaths_age_females[[#This Row],[&lt;1]:[85+]])</f>
        <v>532</v>
      </c>
      <c r="E88" s="19">
        <v>1</v>
      </c>
      <c r="F88" s="19">
        <v>0</v>
      </c>
      <c r="G88" s="19">
        <v>15</v>
      </c>
      <c r="H88" s="19">
        <v>53</v>
      </c>
      <c r="I88" s="19">
        <v>83</v>
      </c>
      <c r="J88" s="19">
        <v>161</v>
      </c>
      <c r="K88" s="19">
        <v>219</v>
      </c>
    </row>
    <row r="89" spans="1:11" x14ac:dyDescent="0.35">
      <c r="A89" s="14" t="s">
        <v>85</v>
      </c>
      <c r="B89" s="15">
        <v>26</v>
      </c>
      <c r="C89" s="16">
        <v>44004</v>
      </c>
      <c r="D89" s="3">
        <f>SUM(weekly_all_cause_deaths_age_females[[#This Row],[&lt;1]:[85+]])</f>
        <v>518</v>
      </c>
      <c r="E89" s="19">
        <v>1</v>
      </c>
      <c r="F89" s="19">
        <v>2</v>
      </c>
      <c r="G89" s="19">
        <v>12</v>
      </c>
      <c r="H89" s="19">
        <v>55</v>
      </c>
      <c r="I89" s="19">
        <v>74</v>
      </c>
      <c r="J89" s="19">
        <v>161</v>
      </c>
      <c r="K89" s="19">
        <v>213</v>
      </c>
    </row>
    <row r="90" spans="1:11" x14ac:dyDescent="0.35">
      <c r="A90" s="14" t="s">
        <v>85</v>
      </c>
      <c r="B90" s="15">
        <v>27</v>
      </c>
      <c r="C90" s="16">
        <v>44011</v>
      </c>
      <c r="D90" s="20">
        <f>SUM(weekly_all_cause_deaths_age_females[[#This Row],[&lt;1]:[85+]])</f>
        <v>466</v>
      </c>
      <c r="E90" s="19">
        <v>1</v>
      </c>
      <c r="F90" s="19">
        <v>0</v>
      </c>
      <c r="G90" s="19">
        <v>21</v>
      </c>
      <c r="H90" s="19">
        <v>59</v>
      </c>
      <c r="I90" s="19">
        <v>72</v>
      </c>
      <c r="J90" s="19">
        <v>122</v>
      </c>
      <c r="K90" s="19">
        <v>191</v>
      </c>
    </row>
    <row r="91" spans="1:11" x14ac:dyDescent="0.35">
      <c r="A91" s="14" t="s">
        <v>85</v>
      </c>
      <c r="B91" s="15">
        <v>28</v>
      </c>
      <c r="C91" s="16">
        <v>44018</v>
      </c>
      <c r="D91" s="20">
        <f>SUM(weekly_all_cause_deaths_age_females[[#This Row],[&lt;1]:[85+]])</f>
        <v>494</v>
      </c>
      <c r="E91" s="19">
        <v>0</v>
      </c>
      <c r="F91" s="19">
        <v>1</v>
      </c>
      <c r="G91" s="19">
        <v>14</v>
      </c>
      <c r="H91" s="19">
        <v>56</v>
      </c>
      <c r="I91" s="19">
        <v>90</v>
      </c>
      <c r="J91" s="19">
        <v>141</v>
      </c>
      <c r="K91" s="19">
        <v>192</v>
      </c>
    </row>
    <row r="92" spans="1:11" x14ac:dyDescent="0.35">
      <c r="A92" s="14" t="s">
        <v>85</v>
      </c>
      <c r="B92" s="15">
        <v>29</v>
      </c>
      <c r="C92" s="16">
        <v>44025</v>
      </c>
      <c r="D92" s="3">
        <f>SUM(weekly_all_cause_deaths_age_females[[#This Row],[&lt;1]:[85+]])</f>
        <v>520</v>
      </c>
      <c r="E92" s="19">
        <v>2</v>
      </c>
      <c r="F92" s="19">
        <v>0</v>
      </c>
      <c r="G92" s="19">
        <v>14</v>
      </c>
      <c r="H92" s="19">
        <v>62</v>
      </c>
      <c r="I92" s="19">
        <v>90</v>
      </c>
      <c r="J92" s="19">
        <v>143</v>
      </c>
      <c r="K92" s="19">
        <v>209</v>
      </c>
    </row>
    <row r="93" spans="1:11" x14ac:dyDescent="0.35">
      <c r="A93" s="14" t="s">
        <v>85</v>
      </c>
      <c r="B93" s="15">
        <v>30</v>
      </c>
      <c r="C93" s="16">
        <v>44032</v>
      </c>
      <c r="D93" s="3">
        <f>SUM(weekly_all_cause_deaths_age_females[[#This Row],[&lt;1]:[85+]])</f>
        <v>482</v>
      </c>
      <c r="E93" s="19">
        <v>0</v>
      </c>
      <c r="F93" s="19">
        <v>2</v>
      </c>
      <c r="G93" s="19">
        <v>13</v>
      </c>
      <c r="H93" s="19">
        <v>68</v>
      </c>
      <c r="I93" s="19">
        <v>59</v>
      </c>
      <c r="J93" s="19">
        <v>157</v>
      </c>
      <c r="K93" s="19">
        <v>183</v>
      </c>
    </row>
    <row r="94" spans="1:11" x14ac:dyDescent="0.35">
      <c r="A94" s="14" t="s">
        <v>85</v>
      </c>
      <c r="B94" s="15">
        <v>31</v>
      </c>
      <c r="C94" s="16">
        <v>44039</v>
      </c>
      <c r="D94" s="20">
        <f>SUM(weekly_all_cause_deaths_age_females[[#This Row],[&lt;1]:[85+]])</f>
        <v>534</v>
      </c>
      <c r="E94" s="19">
        <v>1</v>
      </c>
      <c r="F94" s="19">
        <v>1</v>
      </c>
      <c r="G94" s="19">
        <v>15</v>
      </c>
      <c r="H94" s="19">
        <v>66</v>
      </c>
      <c r="I94" s="19">
        <v>83</v>
      </c>
      <c r="J94" s="19">
        <v>167</v>
      </c>
      <c r="K94" s="19">
        <v>201</v>
      </c>
    </row>
    <row r="95" spans="1:11" x14ac:dyDescent="0.35">
      <c r="A95" s="14" t="s">
        <v>85</v>
      </c>
      <c r="B95" s="15">
        <v>32</v>
      </c>
      <c r="C95" s="16">
        <v>44046</v>
      </c>
      <c r="D95" s="20">
        <f>SUM(weekly_all_cause_deaths_age_females[[#This Row],[&lt;1]:[85+]])</f>
        <v>506</v>
      </c>
      <c r="E95" s="19">
        <v>0</v>
      </c>
      <c r="F95" s="19">
        <v>0</v>
      </c>
      <c r="G95" s="19">
        <v>17</v>
      </c>
      <c r="H95" s="19">
        <v>62</v>
      </c>
      <c r="I95" s="19">
        <v>80</v>
      </c>
      <c r="J95" s="19">
        <v>151</v>
      </c>
      <c r="K95" s="19">
        <v>196</v>
      </c>
    </row>
    <row r="96" spans="1:11" x14ac:dyDescent="0.35">
      <c r="A96" s="14" t="s">
        <v>85</v>
      </c>
      <c r="B96" s="15">
        <v>33</v>
      </c>
      <c r="C96" s="16">
        <v>44053</v>
      </c>
      <c r="D96" s="20">
        <f>SUM(weekly_all_cause_deaths_age_females[[#This Row],[&lt;1]:[85+]])</f>
        <v>453</v>
      </c>
      <c r="E96" s="19">
        <v>2</v>
      </c>
      <c r="F96" s="19">
        <v>2</v>
      </c>
      <c r="G96" s="19">
        <v>19</v>
      </c>
      <c r="H96" s="19">
        <v>59</v>
      </c>
      <c r="I96" s="19">
        <v>82</v>
      </c>
      <c r="J96" s="19">
        <v>117</v>
      </c>
      <c r="K96" s="19">
        <v>172</v>
      </c>
    </row>
    <row r="97" spans="1:11" x14ac:dyDescent="0.35">
      <c r="A97" s="14" t="s">
        <v>85</v>
      </c>
      <c r="B97" s="15">
        <v>34</v>
      </c>
      <c r="C97" s="16">
        <v>44060</v>
      </c>
      <c r="D97" s="20">
        <f>SUM(weekly_all_cause_deaths_age_females[[#This Row],[&lt;1]:[85+]])</f>
        <v>508</v>
      </c>
      <c r="E97" s="19">
        <v>0</v>
      </c>
      <c r="F97" s="19">
        <v>2</v>
      </c>
      <c r="G97" s="19">
        <v>9</v>
      </c>
      <c r="H97" s="19">
        <v>65</v>
      </c>
      <c r="I97" s="19">
        <v>93</v>
      </c>
      <c r="J97" s="19">
        <v>149</v>
      </c>
      <c r="K97" s="19">
        <v>190</v>
      </c>
    </row>
    <row r="98" spans="1:11" x14ac:dyDescent="0.35">
      <c r="A98" s="14" t="s">
        <v>85</v>
      </c>
      <c r="B98" s="15">
        <v>35</v>
      </c>
      <c r="C98" s="16">
        <v>44067</v>
      </c>
      <c r="D98" s="20">
        <f>SUM(weekly_all_cause_deaths_age_females[[#This Row],[&lt;1]:[85+]])</f>
        <v>491</v>
      </c>
      <c r="E98" s="19">
        <v>3</v>
      </c>
      <c r="F98" s="19">
        <v>0</v>
      </c>
      <c r="G98" s="19">
        <v>11</v>
      </c>
      <c r="H98" s="19">
        <v>63</v>
      </c>
      <c r="I98" s="19">
        <v>87</v>
      </c>
      <c r="J98" s="19">
        <v>139</v>
      </c>
      <c r="K98" s="19">
        <v>188</v>
      </c>
    </row>
    <row r="99" spans="1:11" x14ac:dyDescent="0.35">
      <c r="A99" s="14" t="s">
        <v>85</v>
      </c>
      <c r="B99" s="15">
        <v>36</v>
      </c>
      <c r="C99" s="16">
        <v>44074</v>
      </c>
      <c r="D99" s="20">
        <f>SUM(weekly_all_cause_deaths_age_females[[#This Row],[&lt;1]:[85+]])</f>
        <v>487</v>
      </c>
      <c r="E99" s="19">
        <v>0</v>
      </c>
      <c r="F99" s="19">
        <v>1</v>
      </c>
      <c r="G99" s="19">
        <v>17</v>
      </c>
      <c r="H99" s="19">
        <v>68</v>
      </c>
      <c r="I99" s="19">
        <v>91</v>
      </c>
      <c r="J99" s="19">
        <v>137</v>
      </c>
      <c r="K99" s="19">
        <v>173</v>
      </c>
    </row>
    <row r="100" spans="1:11" x14ac:dyDescent="0.35">
      <c r="A100" s="14" t="s">
        <v>85</v>
      </c>
      <c r="B100" s="15">
        <v>37</v>
      </c>
      <c r="C100" s="16">
        <v>44081</v>
      </c>
      <c r="D100" s="20">
        <f>SUM(weekly_all_cause_deaths_age_females[[#This Row],[&lt;1]:[85+]])</f>
        <v>518</v>
      </c>
      <c r="E100" s="19">
        <v>1</v>
      </c>
      <c r="F100" s="19">
        <v>0</v>
      </c>
      <c r="G100" s="19">
        <v>14</v>
      </c>
      <c r="H100" s="19">
        <v>60</v>
      </c>
      <c r="I100" s="19">
        <v>91</v>
      </c>
      <c r="J100" s="19">
        <v>142</v>
      </c>
      <c r="K100" s="19">
        <v>210</v>
      </c>
    </row>
    <row r="101" spans="1:11" x14ac:dyDescent="0.35">
      <c r="A101" s="14" t="s">
        <v>85</v>
      </c>
      <c r="B101" s="15">
        <v>38</v>
      </c>
      <c r="C101" s="16">
        <v>44088</v>
      </c>
      <c r="D101" s="21">
        <f>SUM(weekly_all_cause_deaths_age_females[[#This Row],[&lt;1]:[85+]])</f>
        <v>493</v>
      </c>
      <c r="E101" s="19">
        <v>5</v>
      </c>
      <c r="F101" s="19">
        <v>0</v>
      </c>
      <c r="G101" s="19">
        <v>8</v>
      </c>
      <c r="H101" s="19">
        <v>73</v>
      </c>
      <c r="I101" s="19">
        <v>82</v>
      </c>
      <c r="J101" s="19">
        <v>139</v>
      </c>
      <c r="K101" s="19">
        <v>186</v>
      </c>
    </row>
    <row r="102" spans="1:11" x14ac:dyDescent="0.35">
      <c r="A102" s="14" t="s">
        <v>85</v>
      </c>
      <c r="B102" s="15">
        <v>39</v>
      </c>
      <c r="C102" s="16">
        <v>44095</v>
      </c>
      <c r="D102" s="20">
        <f>SUM(weekly_all_cause_deaths_age_females[[#This Row],[&lt;1]:[85+]])</f>
        <v>462</v>
      </c>
      <c r="E102" s="19">
        <v>2</v>
      </c>
      <c r="F102" s="19">
        <v>0</v>
      </c>
      <c r="G102" s="19">
        <v>10</v>
      </c>
      <c r="H102" s="19">
        <v>60</v>
      </c>
      <c r="I102" s="19">
        <v>58</v>
      </c>
      <c r="J102" s="19">
        <v>130</v>
      </c>
      <c r="K102" s="19">
        <v>202</v>
      </c>
    </row>
    <row r="103" spans="1:11" x14ac:dyDescent="0.35">
      <c r="A103" s="14" t="s">
        <v>85</v>
      </c>
      <c r="B103" s="15">
        <v>40</v>
      </c>
      <c r="C103" s="16">
        <v>44102</v>
      </c>
      <c r="D103" s="20">
        <f>SUM(weekly_all_cause_deaths_age_females[[#This Row],[&lt;1]:[85+]])</f>
        <v>624</v>
      </c>
      <c r="E103" s="19">
        <v>0</v>
      </c>
      <c r="F103" s="19">
        <v>1</v>
      </c>
      <c r="G103" s="19">
        <v>19</v>
      </c>
      <c r="H103" s="19">
        <v>75</v>
      </c>
      <c r="I103" s="19">
        <v>99</v>
      </c>
      <c r="J103" s="19">
        <v>168</v>
      </c>
      <c r="K103" s="19">
        <v>262</v>
      </c>
    </row>
    <row r="104" spans="1:11" x14ac:dyDescent="0.35">
      <c r="A104" s="14" t="s">
        <v>85</v>
      </c>
      <c r="B104" s="15">
        <v>41</v>
      </c>
      <c r="C104" s="16">
        <v>44109</v>
      </c>
      <c r="D104" s="20">
        <f>SUM(weekly_all_cause_deaths_age_females[[#This Row],[&lt;1]:[85+]])</f>
        <v>561</v>
      </c>
      <c r="E104" s="19">
        <v>0</v>
      </c>
      <c r="F104" s="19">
        <v>0</v>
      </c>
      <c r="G104" s="19">
        <v>12</v>
      </c>
      <c r="H104" s="19">
        <v>51</v>
      </c>
      <c r="I104" s="19">
        <v>85</v>
      </c>
      <c r="J104" s="19">
        <v>188</v>
      </c>
      <c r="K104" s="19">
        <v>225</v>
      </c>
    </row>
    <row r="105" spans="1:11" x14ac:dyDescent="0.35">
      <c r="A105" s="14" t="s">
        <v>85</v>
      </c>
      <c r="B105" s="15">
        <v>42</v>
      </c>
      <c r="C105" s="16">
        <v>44116</v>
      </c>
      <c r="D105" s="20">
        <f>SUM(weekly_all_cause_deaths_age_females[[#This Row],[&lt;1]:[85+]])</f>
        <v>579</v>
      </c>
      <c r="E105" s="19">
        <v>0</v>
      </c>
      <c r="F105" s="19">
        <v>0</v>
      </c>
      <c r="G105" s="19">
        <v>9</v>
      </c>
      <c r="H105" s="19">
        <v>63</v>
      </c>
      <c r="I105" s="19">
        <v>89</v>
      </c>
      <c r="J105" s="19">
        <v>178</v>
      </c>
      <c r="K105" s="19">
        <v>240</v>
      </c>
    </row>
    <row r="106" spans="1:11" x14ac:dyDescent="0.35">
      <c r="A106" s="14" t="s">
        <v>85</v>
      </c>
      <c r="B106" s="15">
        <v>43</v>
      </c>
      <c r="C106" s="16">
        <v>44123</v>
      </c>
      <c r="D106" s="20">
        <f>SUM(weekly_all_cause_deaths_age_females[[#This Row],[&lt;1]:[85+]])</f>
        <v>574</v>
      </c>
      <c r="E106" s="19">
        <v>0</v>
      </c>
      <c r="F106" s="19">
        <v>0</v>
      </c>
      <c r="G106" s="19">
        <v>21</v>
      </c>
      <c r="H106" s="19">
        <v>67</v>
      </c>
      <c r="I106" s="19">
        <v>97</v>
      </c>
      <c r="J106" s="19">
        <v>174</v>
      </c>
      <c r="K106" s="19">
        <v>215</v>
      </c>
    </row>
    <row r="107" spans="1:11" x14ac:dyDescent="0.35">
      <c r="A107" s="14" t="s">
        <v>85</v>
      </c>
      <c r="B107" s="15">
        <v>44</v>
      </c>
      <c r="C107" s="16">
        <v>44130</v>
      </c>
      <c r="D107" s="21">
        <f>SUM(weekly_all_cause_deaths_age_females[[#This Row],[&lt;1]:[85+]])</f>
        <v>601</v>
      </c>
      <c r="E107" s="25">
        <v>0</v>
      </c>
      <c r="F107" s="25">
        <v>2</v>
      </c>
      <c r="G107" s="25">
        <v>13</v>
      </c>
      <c r="H107" s="25">
        <v>64</v>
      </c>
      <c r="I107" s="25">
        <v>92</v>
      </c>
      <c r="J107" s="25">
        <v>190</v>
      </c>
      <c r="K107" s="25">
        <v>240</v>
      </c>
    </row>
    <row r="108" spans="1:11" x14ac:dyDescent="0.35">
      <c r="A108" s="14" t="s">
        <v>85</v>
      </c>
      <c r="B108" s="15">
        <v>45</v>
      </c>
      <c r="C108" s="16">
        <v>44137</v>
      </c>
      <c r="D108" s="20">
        <f>SUM(weekly_all_cause_deaths_age_females[[#This Row],[&lt;1]:[85+]])</f>
        <v>628</v>
      </c>
      <c r="E108" s="19">
        <v>3</v>
      </c>
      <c r="F108" s="19">
        <v>1</v>
      </c>
      <c r="G108" s="19">
        <v>19</v>
      </c>
      <c r="H108" s="19">
        <v>63</v>
      </c>
      <c r="I108" s="19">
        <v>104</v>
      </c>
      <c r="J108" s="19">
        <v>172</v>
      </c>
      <c r="K108" s="19">
        <v>266</v>
      </c>
    </row>
    <row r="109" spans="1:11" x14ac:dyDescent="0.35">
      <c r="A109" s="14" t="s">
        <v>85</v>
      </c>
      <c r="B109" s="15">
        <v>46</v>
      </c>
      <c r="C109" s="16">
        <v>44144</v>
      </c>
      <c r="D109" s="3">
        <f>SUM(weekly_all_cause_deaths_age_females[[#This Row],[&lt;1]:[85+]])</f>
        <v>644</v>
      </c>
      <c r="E109" s="19">
        <v>2</v>
      </c>
      <c r="F109" s="19">
        <v>1</v>
      </c>
      <c r="G109" s="19">
        <v>12</v>
      </c>
      <c r="H109" s="19">
        <v>84</v>
      </c>
      <c r="I109" s="19">
        <v>107</v>
      </c>
      <c r="J109" s="19">
        <v>181</v>
      </c>
      <c r="K109" s="19">
        <v>257</v>
      </c>
    </row>
    <row r="110" spans="1:11" x14ac:dyDescent="0.35">
      <c r="A110" s="14" t="s">
        <v>85</v>
      </c>
      <c r="B110" s="15">
        <v>47</v>
      </c>
      <c r="C110" s="16">
        <v>44151</v>
      </c>
      <c r="D110" s="55">
        <f>SUM(weekly_all_cause_deaths_age_females[[#This Row],[&lt;1]:[85+]])</f>
        <v>668</v>
      </c>
      <c r="E110" s="25">
        <v>1</v>
      </c>
      <c r="F110" s="25">
        <v>0</v>
      </c>
      <c r="G110" s="25">
        <v>11</v>
      </c>
      <c r="H110" s="25">
        <v>74</v>
      </c>
      <c r="I110" s="25">
        <v>117</v>
      </c>
      <c r="J110" s="25">
        <v>141</v>
      </c>
      <c r="K110" s="25">
        <v>324</v>
      </c>
    </row>
    <row r="111" spans="1:11" x14ac:dyDescent="0.35">
      <c r="A111" s="14" t="s">
        <v>85</v>
      </c>
      <c r="B111" s="15">
        <v>48</v>
      </c>
      <c r="C111" s="16">
        <v>44158</v>
      </c>
      <c r="D111" s="55">
        <f>SUM(weekly_all_cause_deaths_age_females[[#This Row],[&lt;1]:[85+]])</f>
        <v>651</v>
      </c>
      <c r="E111" s="52">
        <v>4</v>
      </c>
      <c r="F111" s="52">
        <v>1</v>
      </c>
      <c r="G111" s="52">
        <v>13</v>
      </c>
      <c r="H111" s="52">
        <v>77</v>
      </c>
      <c r="I111" s="52">
        <v>104</v>
      </c>
      <c r="J111" s="52">
        <v>186</v>
      </c>
      <c r="K111" s="52">
        <v>266</v>
      </c>
    </row>
    <row r="112" spans="1:11" x14ac:dyDescent="0.35">
      <c r="A112" s="14" t="s">
        <v>85</v>
      </c>
      <c r="B112" s="15">
        <v>49</v>
      </c>
      <c r="C112" s="16">
        <v>44165</v>
      </c>
      <c r="D112" s="55">
        <f>SUM(weekly_all_cause_deaths_age_females[[#This Row],[&lt;1]:[85+]])</f>
        <v>639</v>
      </c>
      <c r="E112" s="52">
        <v>0</v>
      </c>
      <c r="F112" s="52">
        <v>0</v>
      </c>
      <c r="G112" s="52">
        <v>15</v>
      </c>
      <c r="H112" s="52">
        <v>69</v>
      </c>
      <c r="I112" s="52">
        <v>113</v>
      </c>
      <c r="J112" s="52">
        <v>188</v>
      </c>
      <c r="K112" s="52">
        <v>254</v>
      </c>
    </row>
    <row r="113" spans="1:22" x14ac:dyDescent="0.35">
      <c r="A113" s="14" t="s">
        <v>85</v>
      </c>
      <c r="B113" s="15">
        <v>50</v>
      </c>
      <c r="C113" s="16">
        <v>44172</v>
      </c>
      <c r="D113" s="55">
        <f>SUM(weekly_all_cause_deaths_age_females[[#This Row],[&lt;1]:[85+]])</f>
        <v>651</v>
      </c>
      <c r="E113" s="52">
        <v>0</v>
      </c>
      <c r="F113" s="52">
        <v>0</v>
      </c>
      <c r="G113" s="52">
        <v>11</v>
      </c>
      <c r="H113" s="52">
        <v>75</v>
      </c>
      <c r="I113" s="52">
        <v>106</v>
      </c>
      <c r="J113" s="52">
        <v>179</v>
      </c>
      <c r="K113" s="52">
        <v>280</v>
      </c>
    </row>
    <row r="114" spans="1:22" x14ac:dyDescent="0.35">
      <c r="A114" s="14" t="s">
        <v>85</v>
      </c>
      <c r="B114" s="15">
        <v>51</v>
      </c>
      <c r="C114" s="16">
        <v>44179</v>
      </c>
      <c r="D114" s="55">
        <f>SUM(weekly_all_cause_deaths_age_females[[#This Row],[&lt;1]:[85+]])</f>
        <v>668</v>
      </c>
      <c r="E114" s="52">
        <v>2</v>
      </c>
      <c r="F114" s="52">
        <v>1</v>
      </c>
      <c r="G114" s="52">
        <v>12</v>
      </c>
      <c r="H114" s="52">
        <v>75</v>
      </c>
      <c r="I114" s="52">
        <v>98</v>
      </c>
      <c r="J114" s="52">
        <v>182</v>
      </c>
      <c r="K114" s="52">
        <v>298</v>
      </c>
    </row>
    <row r="115" spans="1:22" x14ac:dyDescent="0.35">
      <c r="A115" s="14" t="s">
        <v>85</v>
      </c>
      <c r="B115" s="15">
        <v>52</v>
      </c>
      <c r="C115" s="16">
        <v>44186</v>
      </c>
      <c r="D115" s="55">
        <f>SUM(weekly_all_cause_deaths_age_females[[#This Row],[&lt;1]:[85+]])</f>
        <v>584</v>
      </c>
      <c r="E115" s="52">
        <v>0</v>
      </c>
      <c r="F115" s="52">
        <v>0</v>
      </c>
      <c r="G115" s="52">
        <v>17</v>
      </c>
      <c r="H115" s="52">
        <v>84</v>
      </c>
      <c r="I115" s="52">
        <v>88</v>
      </c>
      <c r="J115" s="52">
        <v>165</v>
      </c>
      <c r="K115" s="52">
        <v>230</v>
      </c>
    </row>
    <row r="116" spans="1:22" x14ac:dyDescent="0.35">
      <c r="A116" s="11" t="s">
        <v>85</v>
      </c>
      <c r="B116" s="15">
        <v>53</v>
      </c>
      <c r="C116" s="16">
        <v>44193</v>
      </c>
      <c r="D116" s="55">
        <f>SUM(weekly_all_cause_deaths_age_females[[#This Row],[&lt;1]:[85+]])</f>
        <v>582</v>
      </c>
      <c r="E116" s="52">
        <v>0</v>
      </c>
      <c r="F116" s="52">
        <v>1</v>
      </c>
      <c r="G116" s="52">
        <v>10</v>
      </c>
      <c r="H116" s="52">
        <v>59</v>
      </c>
      <c r="I116" s="52">
        <v>88</v>
      </c>
      <c r="J116" s="52">
        <v>191</v>
      </c>
      <c r="K116" s="52">
        <v>233</v>
      </c>
    </row>
    <row r="117" spans="1:22" x14ac:dyDescent="0.35">
      <c r="A117" s="68" t="s">
        <v>179</v>
      </c>
      <c r="B117" s="69" t="s">
        <v>179</v>
      </c>
      <c r="C117" s="69" t="s">
        <v>179</v>
      </c>
      <c r="D117" s="70">
        <f>SUBTOTAL(109,weekly_all_cause_deaths_age_females[All ages])</f>
        <v>32359</v>
      </c>
      <c r="E117" s="71">
        <f>SUBTOTAL(109,weekly_all_cause_deaths_age_females[&lt;1])</f>
        <v>68</v>
      </c>
      <c r="F117" s="71">
        <f>SUBTOTAL(109,weekly_all_cause_deaths_age_females[1-14])</f>
        <v>34</v>
      </c>
      <c r="G117" s="71">
        <f>SUBTOTAL(109,weekly_all_cause_deaths_age_females[15-44])</f>
        <v>775</v>
      </c>
      <c r="H117" s="71">
        <f>SUBTOTAL(109,weekly_all_cause_deaths_age_females[45-64])</f>
        <v>3613</v>
      </c>
      <c r="I117" s="71">
        <f>SUBTOTAL(109,weekly_all_cause_deaths_age_females[65-74])</f>
        <v>5018</v>
      </c>
      <c r="J117" s="71">
        <f>SUBTOTAL(109,weekly_all_cause_deaths_age_females[75-84])</f>
        <v>9335</v>
      </c>
      <c r="K117" s="71">
        <f>SUBTOTAL(109,weekly_all_cause_deaths_age_females[85+])</f>
        <v>13516</v>
      </c>
    </row>
    <row r="118" spans="1:22" s="62" customForma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x14ac:dyDescent="0.35">
      <c r="A119" s="22" t="s">
        <v>180</v>
      </c>
      <c r="B119" s="23"/>
      <c r="E119" s="24"/>
      <c r="F119" s="24"/>
    </row>
    <row r="120" spans="1:22" ht="31.5" thickBot="1" x14ac:dyDescent="0.4">
      <c r="A120" s="9" t="s">
        <v>63</v>
      </c>
      <c r="B120" s="13" t="s">
        <v>57</v>
      </c>
      <c r="C120" s="13" t="s">
        <v>58</v>
      </c>
      <c r="D120" s="8" t="s">
        <v>61</v>
      </c>
      <c r="E120" s="9" t="s">
        <v>62</v>
      </c>
      <c r="F120" s="9" t="s">
        <v>64</v>
      </c>
      <c r="G120" s="9" t="s">
        <v>65</v>
      </c>
      <c r="H120" s="9" t="s">
        <v>132</v>
      </c>
      <c r="I120" s="9" t="s">
        <v>66</v>
      </c>
      <c r="J120" s="9" t="s">
        <v>67</v>
      </c>
      <c r="K120" s="9" t="s">
        <v>68</v>
      </c>
    </row>
    <row r="121" spans="1:22" x14ac:dyDescent="0.35">
      <c r="A121" s="14" t="s">
        <v>85</v>
      </c>
      <c r="B121" s="15">
        <v>1</v>
      </c>
      <c r="C121" s="16">
        <v>43829</v>
      </c>
      <c r="D121" s="17">
        <f>SUM(weekly_all_cause_deaths_age_males[[#This Row],[&lt;1]:[85+]])</f>
        <v>545</v>
      </c>
      <c r="E121" s="1">
        <v>2</v>
      </c>
      <c r="F121" s="1">
        <v>0</v>
      </c>
      <c r="G121" s="1">
        <v>13</v>
      </c>
      <c r="H121" s="1">
        <v>92</v>
      </c>
      <c r="I121" s="1">
        <v>116</v>
      </c>
      <c r="J121" s="1">
        <v>177</v>
      </c>
      <c r="K121" s="1">
        <v>145</v>
      </c>
    </row>
    <row r="122" spans="1:22" x14ac:dyDescent="0.35">
      <c r="A122" s="14" t="s">
        <v>85</v>
      </c>
      <c r="B122" s="15">
        <v>2</v>
      </c>
      <c r="C122" s="16">
        <v>43836</v>
      </c>
      <c r="D122" s="3">
        <f>SUM(weekly_all_cause_deaths_age_males[[#This Row],[&lt;1]:[85+]])</f>
        <v>750</v>
      </c>
      <c r="E122" s="2">
        <v>0</v>
      </c>
      <c r="F122" s="2">
        <v>2</v>
      </c>
      <c r="G122" s="2">
        <v>42</v>
      </c>
      <c r="H122" s="2">
        <v>120</v>
      </c>
      <c r="I122" s="2">
        <v>161</v>
      </c>
      <c r="J122" s="2">
        <v>208</v>
      </c>
      <c r="K122" s="2">
        <v>217</v>
      </c>
    </row>
    <row r="123" spans="1:22" x14ac:dyDescent="0.35">
      <c r="A123" s="14" t="s">
        <v>85</v>
      </c>
      <c r="B123" s="15">
        <v>3</v>
      </c>
      <c r="C123" s="16">
        <v>43843</v>
      </c>
      <c r="D123" s="3">
        <f>SUM(weekly_all_cause_deaths_age_males[[#This Row],[&lt;1]:[85+]])</f>
        <v>651</v>
      </c>
      <c r="E123" s="2">
        <v>2</v>
      </c>
      <c r="F123" s="2">
        <v>0</v>
      </c>
      <c r="G123" s="2">
        <v>27</v>
      </c>
      <c r="H123" s="2">
        <v>113</v>
      </c>
      <c r="I123" s="2">
        <v>132</v>
      </c>
      <c r="J123" s="2">
        <v>199</v>
      </c>
      <c r="K123" s="2">
        <v>178</v>
      </c>
    </row>
    <row r="124" spans="1:22" x14ac:dyDescent="0.35">
      <c r="A124" s="14" t="s">
        <v>85</v>
      </c>
      <c r="B124" s="15">
        <v>4</v>
      </c>
      <c r="C124" s="16">
        <v>43850</v>
      </c>
      <c r="D124" s="3">
        <f>SUM(weekly_all_cause_deaths_age_males[[#This Row],[&lt;1]:[85+]])</f>
        <v>599</v>
      </c>
      <c r="E124" s="2">
        <v>0</v>
      </c>
      <c r="F124" s="2">
        <v>3</v>
      </c>
      <c r="G124" s="2">
        <v>36</v>
      </c>
      <c r="H124" s="2">
        <v>91</v>
      </c>
      <c r="I124" s="2">
        <v>127</v>
      </c>
      <c r="J124" s="2">
        <v>188</v>
      </c>
      <c r="K124" s="2">
        <v>154</v>
      </c>
    </row>
    <row r="125" spans="1:22" x14ac:dyDescent="0.35">
      <c r="A125" s="14" t="s">
        <v>85</v>
      </c>
      <c r="B125" s="15">
        <v>5</v>
      </c>
      <c r="C125" s="16">
        <v>43857</v>
      </c>
      <c r="D125" s="3">
        <f>SUM(weekly_all_cause_deaths_age_males[[#This Row],[&lt;1]:[85+]])</f>
        <v>608</v>
      </c>
      <c r="E125" s="2">
        <v>1</v>
      </c>
      <c r="F125" s="2">
        <v>1</v>
      </c>
      <c r="G125" s="2">
        <v>19</v>
      </c>
      <c r="H125" s="2">
        <v>111</v>
      </c>
      <c r="I125" s="2">
        <v>118</v>
      </c>
      <c r="J125" s="2">
        <v>195</v>
      </c>
      <c r="K125" s="2">
        <v>163</v>
      </c>
    </row>
    <row r="126" spans="1:22" x14ac:dyDescent="0.35">
      <c r="A126" s="14" t="s">
        <v>85</v>
      </c>
      <c r="B126" s="15">
        <v>6</v>
      </c>
      <c r="C126" s="16">
        <v>43864</v>
      </c>
      <c r="D126" s="3">
        <f>SUM(weekly_all_cause_deaths_age_males[[#This Row],[&lt;1]:[85+]])</f>
        <v>600</v>
      </c>
      <c r="E126" s="2">
        <v>5</v>
      </c>
      <c r="F126" s="2">
        <v>2</v>
      </c>
      <c r="G126" s="2">
        <v>16</v>
      </c>
      <c r="H126" s="2">
        <v>106</v>
      </c>
      <c r="I126" s="2">
        <v>119</v>
      </c>
      <c r="J126" s="2">
        <v>187</v>
      </c>
      <c r="K126" s="2">
        <v>165</v>
      </c>
    </row>
    <row r="127" spans="1:22" x14ac:dyDescent="0.35">
      <c r="A127" s="14" t="s">
        <v>85</v>
      </c>
      <c r="B127" s="15">
        <v>7</v>
      </c>
      <c r="C127" s="16">
        <v>43871</v>
      </c>
      <c r="D127" s="3">
        <f>SUM(weekly_all_cause_deaths_age_males[[#This Row],[&lt;1]:[85+]])</f>
        <v>618</v>
      </c>
      <c r="E127" s="2">
        <v>4</v>
      </c>
      <c r="F127" s="2">
        <v>1</v>
      </c>
      <c r="G127" s="2">
        <v>31</v>
      </c>
      <c r="H127" s="2">
        <v>102</v>
      </c>
      <c r="I127" s="2">
        <v>144</v>
      </c>
      <c r="J127" s="2">
        <v>185</v>
      </c>
      <c r="K127" s="2">
        <v>151</v>
      </c>
    </row>
    <row r="128" spans="1:22" x14ac:dyDescent="0.35">
      <c r="A128" s="14" t="s">
        <v>85</v>
      </c>
      <c r="B128" s="15">
        <v>8</v>
      </c>
      <c r="C128" s="16">
        <v>43878</v>
      </c>
      <c r="D128" s="3">
        <f>SUM(weekly_all_cause_deaths_age_males[[#This Row],[&lt;1]:[85+]])</f>
        <v>564</v>
      </c>
      <c r="E128" s="2">
        <v>1</v>
      </c>
      <c r="F128" s="2">
        <v>1</v>
      </c>
      <c r="G128" s="2">
        <v>28</v>
      </c>
      <c r="H128" s="2">
        <v>86</v>
      </c>
      <c r="I128" s="2">
        <v>123</v>
      </c>
      <c r="J128" s="2">
        <v>180</v>
      </c>
      <c r="K128" s="2">
        <v>145</v>
      </c>
    </row>
    <row r="129" spans="1:11" x14ac:dyDescent="0.35">
      <c r="A129" s="14" t="s">
        <v>85</v>
      </c>
      <c r="B129" s="15">
        <v>9</v>
      </c>
      <c r="C129" s="16">
        <v>43885</v>
      </c>
      <c r="D129" s="3">
        <f>SUM(weekly_all_cause_deaths_age_males[[#This Row],[&lt;1]:[85+]])</f>
        <v>580</v>
      </c>
      <c r="E129" s="2">
        <v>2</v>
      </c>
      <c r="F129" s="2">
        <v>1</v>
      </c>
      <c r="G129" s="2">
        <v>31</v>
      </c>
      <c r="H129" s="2">
        <v>92</v>
      </c>
      <c r="I129" s="2">
        <v>119</v>
      </c>
      <c r="J129" s="2">
        <v>181</v>
      </c>
      <c r="K129" s="2">
        <v>154</v>
      </c>
    </row>
    <row r="130" spans="1:11" x14ac:dyDescent="0.35">
      <c r="A130" s="14" t="s">
        <v>85</v>
      </c>
      <c r="B130" s="15">
        <v>10</v>
      </c>
      <c r="C130" s="16">
        <v>43892</v>
      </c>
      <c r="D130" s="3">
        <f>SUM(weekly_all_cause_deaths_age_males[[#This Row],[&lt;1]:[85+]])</f>
        <v>585</v>
      </c>
      <c r="E130" s="2">
        <v>0</v>
      </c>
      <c r="F130" s="2">
        <v>0</v>
      </c>
      <c r="G130" s="2">
        <v>27</v>
      </c>
      <c r="H130" s="2">
        <v>102</v>
      </c>
      <c r="I130" s="2">
        <v>131</v>
      </c>
      <c r="J130" s="2">
        <v>182</v>
      </c>
      <c r="K130" s="2">
        <v>143</v>
      </c>
    </row>
    <row r="131" spans="1:11" x14ac:dyDescent="0.35">
      <c r="A131" s="14" t="s">
        <v>85</v>
      </c>
      <c r="B131" s="15">
        <v>11</v>
      </c>
      <c r="C131" s="16">
        <v>43899</v>
      </c>
      <c r="D131" s="3">
        <f>SUM(weekly_all_cause_deaths_age_males[[#This Row],[&lt;1]:[85+]])</f>
        <v>609</v>
      </c>
      <c r="E131" s="2">
        <v>2</v>
      </c>
      <c r="F131" s="2">
        <v>2</v>
      </c>
      <c r="G131" s="2">
        <v>26</v>
      </c>
      <c r="H131" s="2">
        <v>107</v>
      </c>
      <c r="I131" s="2">
        <v>138</v>
      </c>
      <c r="J131" s="2">
        <v>168</v>
      </c>
      <c r="K131" s="2">
        <v>166</v>
      </c>
    </row>
    <row r="132" spans="1:11" x14ac:dyDescent="0.35">
      <c r="A132" s="14" t="s">
        <v>85</v>
      </c>
      <c r="B132" s="15">
        <v>12</v>
      </c>
      <c r="C132" s="16">
        <v>43906</v>
      </c>
      <c r="D132" s="3">
        <f>SUM(weekly_all_cause_deaths_age_males[[#This Row],[&lt;1]:[85+]])</f>
        <v>616</v>
      </c>
      <c r="E132" s="2">
        <v>1</v>
      </c>
      <c r="F132" s="2">
        <v>0</v>
      </c>
      <c r="G132" s="2">
        <v>30</v>
      </c>
      <c r="H132" s="2">
        <v>108</v>
      </c>
      <c r="I132" s="2">
        <v>137</v>
      </c>
      <c r="J132" s="2">
        <v>192</v>
      </c>
      <c r="K132" s="2">
        <v>148</v>
      </c>
    </row>
    <row r="133" spans="1:11" x14ac:dyDescent="0.35">
      <c r="A133" s="14" t="s">
        <v>85</v>
      </c>
      <c r="B133" s="15">
        <v>13</v>
      </c>
      <c r="C133" s="16">
        <v>43913</v>
      </c>
      <c r="D133" s="3">
        <f>SUM(weekly_all_cause_deaths_age_males[[#This Row],[&lt;1]:[85+]])</f>
        <v>501</v>
      </c>
      <c r="E133" s="2">
        <v>1</v>
      </c>
      <c r="F133" s="2">
        <v>1</v>
      </c>
      <c r="G133" s="2">
        <v>16</v>
      </c>
      <c r="H133" s="2">
        <v>90</v>
      </c>
      <c r="I133" s="2">
        <v>113</v>
      </c>
      <c r="J133" s="2">
        <v>146</v>
      </c>
      <c r="K133" s="2">
        <v>134</v>
      </c>
    </row>
    <row r="134" spans="1:11" x14ac:dyDescent="0.35">
      <c r="A134" s="14" t="s">
        <v>85</v>
      </c>
      <c r="B134" s="15">
        <v>14</v>
      </c>
      <c r="C134" s="16">
        <v>43920</v>
      </c>
      <c r="D134" s="3">
        <f>SUM(weekly_all_cause_deaths_age_males[[#This Row],[&lt;1]:[85+]])</f>
        <v>907</v>
      </c>
      <c r="E134" s="25">
        <v>1</v>
      </c>
      <c r="F134" s="25">
        <v>1</v>
      </c>
      <c r="G134" s="25">
        <v>43</v>
      </c>
      <c r="H134" s="25">
        <v>125</v>
      </c>
      <c r="I134" s="25">
        <v>206</v>
      </c>
      <c r="J134" s="25">
        <v>291</v>
      </c>
      <c r="K134" s="25">
        <v>240</v>
      </c>
    </row>
    <row r="135" spans="1:11" x14ac:dyDescent="0.35">
      <c r="A135" s="14" t="s">
        <v>85</v>
      </c>
      <c r="B135" s="15">
        <v>15</v>
      </c>
      <c r="C135" s="16">
        <v>43927</v>
      </c>
      <c r="D135" s="3">
        <f>SUM(weekly_all_cause_deaths_age_males[[#This Row],[&lt;1]:[85+]])</f>
        <v>1052</v>
      </c>
      <c r="E135" s="19">
        <v>5</v>
      </c>
      <c r="F135" s="19">
        <v>1</v>
      </c>
      <c r="G135" s="19">
        <v>33</v>
      </c>
      <c r="H135" s="19">
        <v>163</v>
      </c>
      <c r="I135" s="19">
        <v>208</v>
      </c>
      <c r="J135" s="19">
        <v>341</v>
      </c>
      <c r="K135" s="19">
        <v>301</v>
      </c>
    </row>
    <row r="136" spans="1:11" x14ac:dyDescent="0.35">
      <c r="A136" s="14" t="s">
        <v>85</v>
      </c>
      <c r="B136" s="15">
        <v>16</v>
      </c>
      <c r="C136" s="16">
        <v>43934</v>
      </c>
      <c r="D136" s="3">
        <f>SUM(weekly_all_cause_deaths_age_males[[#This Row],[&lt;1]:[85+]])</f>
        <v>978</v>
      </c>
      <c r="E136" s="19">
        <v>0</v>
      </c>
      <c r="F136" s="19">
        <v>0</v>
      </c>
      <c r="G136" s="19">
        <v>32</v>
      </c>
      <c r="H136" s="19">
        <v>139</v>
      </c>
      <c r="I136" s="19">
        <v>180</v>
      </c>
      <c r="J136" s="19">
        <v>323</v>
      </c>
      <c r="K136" s="19">
        <v>304</v>
      </c>
    </row>
    <row r="137" spans="1:11" x14ac:dyDescent="0.35">
      <c r="A137" s="14" t="s">
        <v>85</v>
      </c>
      <c r="B137" s="15">
        <v>17</v>
      </c>
      <c r="C137" s="16">
        <v>43941</v>
      </c>
      <c r="D137" s="3">
        <f>SUM(weekly_all_cause_deaths_age_males[[#This Row],[&lt;1]:[85+]])</f>
        <v>875</v>
      </c>
      <c r="E137" s="19">
        <v>1</v>
      </c>
      <c r="F137" s="19">
        <v>1</v>
      </c>
      <c r="G137" s="19">
        <v>35</v>
      </c>
      <c r="H137" s="19">
        <v>146</v>
      </c>
      <c r="I137" s="19">
        <v>175</v>
      </c>
      <c r="J137" s="19">
        <v>293</v>
      </c>
      <c r="K137" s="19">
        <v>224</v>
      </c>
    </row>
    <row r="138" spans="1:11" x14ac:dyDescent="0.35">
      <c r="A138" s="14" t="s">
        <v>85</v>
      </c>
      <c r="B138" s="15">
        <v>18</v>
      </c>
      <c r="C138" s="16">
        <v>43948</v>
      </c>
      <c r="D138" s="20">
        <f>SUM(weekly_all_cause_deaths_age_males[[#This Row],[&lt;1]:[85+]])</f>
        <v>825</v>
      </c>
      <c r="E138" s="19">
        <v>0</v>
      </c>
      <c r="F138" s="19">
        <v>0</v>
      </c>
      <c r="G138" s="19">
        <v>35</v>
      </c>
      <c r="H138" s="19">
        <v>146</v>
      </c>
      <c r="I138" s="19">
        <v>144</v>
      </c>
      <c r="J138" s="19">
        <v>249</v>
      </c>
      <c r="K138" s="19">
        <v>251</v>
      </c>
    </row>
    <row r="139" spans="1:11" x14ac:dyDescent="0.35">
      <c r="A139" s="14" t="s">
        <v>85</v>
      </c>
      <c r="B139" s="15">
        <v>19</v>
      </c>
      <c r="C139" s="16">
        <v>43955</v>
      </c>
      <c r="D139" s="20">
        <f>SUM(weekly_all_cause_deaths_age_males[[#This Row],[&lt;1]:[85+]])</f>
        <v>690</v>
      </c>
      <c r="E139" s="19">
        <v>1</v>
      </c>
      <c r="F139" s="19">
        <v>2</v>
      </c>
      <c r="G139" s="19">
        <v>22</v>
      </c>
      <c r="H139" s="19">
        <v>102</v>
      </c>
      <c r="I139" s="19">
        <v>144</v>
      </c>
      <c r="J139" s="19">
        <v>222</v>
      </c>
      <c r="K139" s="19">
        <v>197</v>
      </c>
    </row>
    <row r="140" spans="1:11" x14ac:dyDescent="0.35">
      <c r="A140" s="14" t="s">
        <v>85</v>
      </c>
      <c r="B140" s="15">
        <v>20</v>
      </c>
      <c r="C140" s="16">
        <v>43962</v>
      </c>
      <c r="D140" s="20">
        <f>SUM(weekly_all_cause_deaths_age_males[[#This Row],[&lt;1]:[85+]])</f>
        <v>725</v>
      </c>
      <c r="E140" s="19">
        <v>2</v>
      </c>
      <c r="F140" s="19">
        <v>0</v>
      </c>
      <c r="G140" s="19">
        <v>41</v>
      </c>
      <c r="H140" s="19">
        <v>132</v>
      </c>
      <c r="I140" s="19">
        <v>133</v>
      </c>
      <c r="J140" s="19">
        <v>222</v>
      </c>
      <c r="K140" s="19">
        <v>195</v>
      </c>
    </row>
    <row r="141" spans="1:11" x14ac:dyDescent="0.35">
      <c r="A141" s="14" t="s">
        <v>85</v>
      </c>
      <c r="B141" s="15">
        <v>21</v>
      </c>
      <c r="C141" s="16">
        <v>43969</v>
      </c>
      <c r="D141" s="20">
        <f>SUM(weekly_all_cause_deaths_age_males[[#This Row],[&lt;1]:[85+]])</f>
        <v>590</v>
      </c>
      <c r="E141" s="19">
        <v>2</v>
      </c>
      <c r="F141" s="19">
        <v>3</v>
      </c>
      <c r="G141" s="19">
        <v>29</v>
      </c>
      <c r="H141" s="19">
        <v>96</v>
      </c>
      <c r="I141" s="19">
        <v>133</v>
      </c>
      <c r="J141" s="19">
        <v>175</v>
      </c>
      <c r="K141" s="19">
        <v>152</v>
      </c>
    </row>
    <row r="142" spans="1:11" x14ac:dyDescent="0.35">
      <c r="A142" s="14" t="s">
        <v>85</v>
      </c>
      <c r="B142" s="15">
        <v>22</v>
      </c>
      <c r="C142" s="16">
        <v>43976</v>
      </c>
      <c r="D142" s="21">
        <f>SUM(weekly_all_cause_deaths_age_males[[#This Row],[&lt;1]:[85+]])</f>
        <v>551</v>
      </c>
      <c r="E142" s="19">
        <v>2</v>
      </c>
      <c r="F142" s="19">
        <v>1</v>
      </c>
      <c r="G142" s="19">
        <v>28</v>
      </c>
      <c r="H142" s="19">
        <v>104</v>
      </c>
      <c r="I142" s="19">
        <v>116</v>
      </c>
      <c r="J142" s="19">
        <v>171</v>
      </c>
      <c r="K142" s="19">
        <v>129</v>
      </c>
    </row>
    <row r="143" spans="1:11" x14ac:dyDescent="0.35">
      <c r="A143" s="14" t="s">
        <v>85</v>
      </c>
      <c r="B143" s="15">
        <v>23</v>
      </c>
      <c r="C143" s="16">
        <v>43983</v>
      </c>
      <c r="D143" s="20">
        <f>SUM(weekly_all_cause_deaths_age_males[[#This Row],[&lt;1]:[85+]])</f>
        <v>577</v>
      </c>
      <c r="E143" s="19">
        <v>1</v>
      </c>
      <c r="F143" s="19">
        <v>0</v>
      </c>
      <c r="G143" s="19">
        <v>39</v>
      </c>
      <c r="H143" s="19">
        <v>117</v>
      </c>
      <c r="I143" s="19">
        <v>116</v>
      </c>
      <c r="J143" s="19">
        <v>158</v>
      </c>
      <c r="K143" s="19">
        <v>146</v>
      </c>
    </row>
    <row r="144" spans="1:11" x14ac:dyDescent="0.35">
      <c r="A144" s="14" t="s">
        <v>85</v>
      </c>
      <c r="B144" s="15">
        <v>24</v>
      </c>
      <c r="C144" s="16">
        <v>43990</v>
      </c>
      <c r="D144" s="20">
        <f>SUM(weekly_all_cause_deaths_age_males[[#This Row],[&lt;1]:[85+]])</f>
        <v>508</v>
      </c>
      <c r="E144" s="19">
        <v>1</v>
      </c>
      <c r="F144" s="19">
        <v>1</v>
      </c>
      <c r="G144" s="19">
        <v>36</v>
      </c>
      <c r="H144" s="19">
        <v>90</v>
      </c>
      <c r="I144" s="19">
        <v>113</v>
      </c>
      <c r="J144" s="19">
        <v>159</v>
      </c>
      <c r="K144" s="19">
        <v>108</v>
      </c>
    </row>
    <row r="145" spans="1:11" x14ac:dyDescent="0.35">
      <c r="A145" s="14" t="s">
        <v>85</v>
      </c>
      <c r="B145" s="15">
        <v>25</v>
      </c>
      <c r="C145" s="16">
        <v>43997</v>
      </c>
      <c r="D145" s="20">
        <f>SUM(weekly_all_cause_deaths_age_males[[#This Row],[&lt;1]:[85+]])</f>
        <v>533</v>
      </c>
      <c r="E145" s="19">
        <v>1</v>
      </c>
      <c r="F145" s="19">
        <v>0</v>
      </c>
      <c r="G145" s="19">
        <v>33</v>
      </c>
      <c r="H145" s="19">
        <v>100</v>
      </c>
      <c r="I145" s="19">
        <v>89</v>
      </c>
      <c r="J145" s="19">
        <v>173</v>
      </c>
      <c r="K145" s="19">
        <v>137</v>
      </c>
    </row>
    <row r="146" spans="1:11" x14ac:dyDescent="0.35">
      <c r="A146" s="14" t="s">
        <v>85</v>
      </c>
      <c r="B146" s="15">
        <v>26</v>
      </c>
      <c r="C146" s="16">
        <v>44004</v>
      </c>
      <c r="D146" s="3">
        <f>SUM(weekly_all_cause_deaths_age_males[[#This Row],[&lt;1]:[85+]])</f>
        <v>490</v>
      </c>
      <c r="E146" s="19">
        <v>2</v>
      </c>
      <c r="F146" s="19">
        <v>4</v>
      </c>
      <c r="G146" s="19">
        <v>36</v>
      </c>
      <c r="H146" s="19">
        <v>84</v>
      </c>
      <c r="I146" s="19">
        <v>97</v>
      </c>
      <c r="J146" s="19">
        <v>159</v>
      </c>
      <c r="K146" s="19">
        <v>108</v>
      </c>
    </row>
    <row r="147" spans="1:11" x14ac:dyDescent="0.35">
      <c r="A147" s="14" t="s">
        <v>85</v>
      </c>
      <c r="B147" s="15">
        <v>27</v>
      </c>
      <c r="C147" s="16">
        <v>44011</v>
      </c>
      <c r="D147" s="20">
        <f>SUM(weekly_all_cause_deaths_age_males[[#This Row],[&lt;1]:[85+]])</f>
        <v>517</v>
      </c>
      <c r="E147" s="19">
        <v>1</v>
      </c>
      <c r="F147" s="19">
        <v>0</v>
      </c>
      <c r="G147" s="19">
        <v>32</v>
      </c>
      <c r="H147" s="19">
        <v>102</v>
      </c>
      <c r="I147" s="19">
        <v>118</v>
      </c>
      <c r="J147" s="19">
        <v>157</v>
      </c>
      <c r="K147" s="19">
        <v>107</v>
      </c>
    </row>
    <row r="148" spans="1:11" x14ac:dyDescent="0.35">
      <c r="A148" s="14" t="s">
        <v>85</v>
      </c>
      <c r="B148" s="15">
        <v>28</v>
      </c>
      <c r="C148" s="16">
        <v>44018</v>
      </c>
      <c r="D148" s="20">
        <f>SUM(weekly_all_cause_deaths_age_males[[#This Row],[&lt;1]:[85+]])</f>
        <v>483</v>
      </c>
      <c r="E148" s="19">
        <v>0</v>
      </c>
      <c r="F148" s="19">
        <v>2</v>
      </c>
      <c r="G148" s="19">
        <v>35</v>
      </c>
      <c r="H148" s="19">
        <v>91</v>
      </c>
      <c r="I148" s="19">
        <v>104</v>
      </c>
      <c r="J148" s="19">
        <v>136</v>
      </c>
      <c r="K148" s="19">
        <v>115</v>
      </c>
    </row>
    <row r="149" spans="1:11" x14ac:dyDescent="0.35">
      <c r="A149" s="14" t="s">
        <v>85</v>
      </c>
      <c r="B149" s="15">
        <v>29</v>
      </c>
      <c r="C149" s="16">
        <v>44025</v>
      </c>
      <c r="D149" s="3">
        <f>SUM(weekly_all_cause_deaths_age_males[[#This Row],[&lt;1]:[85+]])</f>
        <v>513</v>
      </c>
      <c r="E149" s="19">
        <v>4</v>
      </c>
      <c r="F149" s="19">
        <v>1</v>
      </c>
      <c r="G149" s="19">
        <v>33</v>
      </c>
      <c r="H149" s="19">
        <v>94</v>
      </c>
      <c r="I149" s="19">
        <v>101</v>
      </c>
      <c r="J149" s="19">
        <v>152</v>
      </c>
      <c r="K149" s="19">
        <v>128</v>
      </c>
    </row>
    <row r="150" spans="1:11" x14ac:dyDescent="0.35">
      <c r="A150" s="14" t="s">
        <v>85</v>
      </c>
      <c r="B150" s="15">
        <v>30</v>
      </c>
      <c r="C150" s="16">
        <v>44032</v>
      </c>
      <c r="D150" s="3">
        <f>SUM(weekly_all_cause_deaths_age_males[[#This Row],[&lt;1]:[85+]])</f>
        <v>480</v>
      </c>
      <c r="E150" s="19">
        <v>1</v>
      </c>
      <c r="F150" s="19">
        <v>0</v>
      </c>
      <c r="G150" s="19">
        <v>37</v>
      </c>
      <c r="H150" s="19">
        <v>86</v>
      </c>
      <c r="I150" s="19">
        <v>102</v>
      </c>
      <c r="J150" s="19">
        <v>141</v>
      </c>
      <c r="K150" s="19">
        <v>113</v>
      </c>
    </row>
    <row r="151" spans="1:11" x14ac:dyDescent="0.35">
      <c r="A151" s="14" t="s">
        <v>85</v>
      </c>
      <c r="B151" s="15">
        <v>31</v>
      </c>
      <c r="C151" s="16">
        <v>44039</v>
      </c>
      <c r="D151" s="20">
        <f>SUM(weekly_all_cause_deaths_age_males[[#This Row],[&lt;1]:[85+]])</f>
        <v>509</v>
      </c>
      <c r="E151" s="19">
        <v>0</v>
      </c>
      <c r="F151" s="19">
        <v>2</v>
      </c>
      <c r="G151" s="19">
        <v>30</v>
      </c>
      <c r="H151" s="19">
        <v>109</v>
      </c>
      <c r="I151" s="19">
        <v>109</v>
      </c>
      <c r="J151" s="19">
        <v>142</v>
      </c>
      <c r="K151" s="19">
        <v>117</v>
      </c>
    </row>
    <row r="152" spans="1:11" x14ac:dyDescent="0.35">
      <c r="A152" s="14" t="s">
        <v>85</v>
      </c>
      <c r="B152" s="15">
        <v>32</v>
      </c>
      <c r="C152" s="16">
        <v>44046</v>
      </c>
      <c r="D152" s="20">
        <f>SUM(weekly_all_cause_deaths_age_males[[#This Row],[&lt;1]:[85+]])</f>
        <v>505</v>
      </c>
      <c r="E152" s="19">
        <v>0</v>
      </c>
      <c r="F152" s="19">
        <v>0</v>
      </c>
      <c r="G152" s="19">
        <v>32</v>
      </c>
      <c r="H152" s="19">
        <v>91</v>
      </c>
      <c r="I152" s="19">
        <v>128</v>
      </c>
      <c r="J152" s="19">
        <v>157</v>
      </c>
      <c r="K152" s="19">
        <v>97</v>
      </c>
    </row>
    <row r="153" spans="1:11" x14ac:dyDescent="0.35">
      <c r="A153" s="14" t="s">
        <v>85</v>
      </c>
      <c r="B153" s="15">
        <v>33</v>
      </c>
      <c r="C153" s="16">
        <v>44053</v>
      </c>
      <c r="D153" s="20">
        <f>SUM(weekly_all_cause_deaths_age_males[[#This Row],[&lt;1]:[85+]])</f>
        <v>475</v>
      </c>
      <c r="E153" s="19">
        <v>0</v>
      </c>
      <c r="F153" s="19">
        <v>0</v>
      </c>
      <c r="G153" s="19">
        <v>34</v>
      </c>
      <c r="H153" s="19">
        <v>98</v>
      </c>
      <c r="I153" s="19">
        <v>107</v>
      </c>
      <c r="J153" s="19">
        <v>129</v>
      </c>
      <c r="K153" s="19">
        <v>107</v>
      </c>
    </row>
    <row r="154" spans="1:11" x14ac:dyDescent="0.35">
      <c r="A154" s="14" t="s">
        <v>85</v>
      </c>
      <c r="B154" s="15">
        <v>34</v>
      </c>
      <c r="C154" s="16">
        <v>44060</v>
      </c>
      <c r="D154" s="20">
        <f>SUM(weekly_all_cause_deaths_age_males[[#This Row],[&lt;1]:[85+]])</f>
        <v>538</v>
      </c>
      <c r="E154" s="19">
        <v>1</v>
      </c>
      <c r="F154" s="19">
        <v>0</v>
      </c>
      <c r="G154" s="19">
        <v>33</v>
      </c>
      <c r="H154" s="19">
        <v>93</v>
      </c>
      <c r="I154" s="19">
        <v>111</v>
      </c>
      <c r="J154" s="19">
        <v>169</v>
      </c>
      <c r="K154" s="19">
        <v>131</v>
      </c>
    </row>
    <row r="155" spans="1:11" x14ac:dyDescent="0.35">
      <c r="A155" s="14" t="s">
        <v>85</v>
      </c>
      <c r="B155" s="15">
        <v>35</v>
      </c>
      <c r="C155" s="16">
        <v>44067</v>
      </c>
      <c r="D155" s="20">
        <f>SUM(weekly_all_cause_deaths_age_males[[#This Row],[&lt;1]:[85+]])</f>
        <v>539</v>
      </c>
      <c r="E155" s="19">
        <v>2</v>
      </c>
      <c r="F155" s="19">
        <v>0</v>
      </c>
      <c r="G155" s="19">
        <v>35</v>
      </c>
      <c r="H155" s="19">
        <v>103</v>
      </c>
      <c r="I155" s="19">
        <v>125</v>
      </c>
      <c r="J155" s="19">
        <v>160</v>
      </c>
      <c r="K155" s="19">
        <v>114</v>
      </c>
    </row>
    <row r="156" spans="1:11" x14ac:dyDescent="0.35">
      <c r="A156" s="14" t="s">
        <v>85</v>
      </c>
      <c r="B156" s="15">
        <v>36</v>
      </c>
      <c r="C156" s="16">
        <v>44074</v>
      </c>
      <c r="D156" s="20">
        <f>SUM(weekly_all_cause_deaths_age_males[[#This Row],[&lt;1]:[85+]])</f>
        <v>563</v>
      </c>
      <c r="E156" s="19">
        <v>1</v>
      </c>
      <c r="F156" s="19">
        <v>1</v>
      </c>
      <c r="G156" s="19">
        <v>31</v>
      </c>
      <c r="H156" s="19">
        <v>104</v>
      </c>
      <c r="I156" s="19">
        <v>130</v>
      </c>
      <c r="J156" s="19">
        <v>158</v>
      </c>
      <c r="K156" s="19">
        <v>138</v>
      </c>
    </row>
    <row r="157" spans="1:11" x14ac:dyDescent="0.35">
      <c r="A157" s="14" t="s">
        <v>85</v>
      </c>
      <c r="B157" s="15">
        <v>37</v>
      </c>
      <c r="C157" s="16">
        <v>44081</v>
      </c>
      <c r="D157" s="20">
        <f>SUM(weekly_all_cause_deaths_age_males[[#This Row],[&lt;1]:[85+]])</f>
        <v>551</v>
      </c>
      <c r="E157" s="19">
        <v>1</v>
      </c>
      <c r="F157" s="19">
        <v>0</v>
      </c>
      <c r="G157" s="19">
        <v>30</v>
      </c>
      <c r="H157" s="19">
        <v>96</v>
      </c>
      <c r="I157" s="19">
        <v>115</v>
      </c>
      <c r="J157" s="19">
        <v>179</v>
      </c>
      <c r="K157" s="19">
        <v>130</v>
      </c>
    </row>
    <row r="158" spans="1:11" x14ac:dyDescent="0.35">
      <c r="A158" s="14" t="s">
        <v>85</v>
      </c>
      <c r="B158" s="15">
        <v>38</v>
      </c>
      <c r="C158" s="16">
        <v>44088</v>
      </c>
      <c r="D158" s="21">
        <f>SUM(weekly_all_cause_deaths_age_males[[#This Row],[&lt;1]:[85+]])</f>
        <v>459</v>
      </c>
      <c r="E158" s="19">
        <v>1</v>
      </c>
      <c r="F158" s="19">
        <v>1</v>
      </c>
      <c r="G158" s="19">
        <v>32</v>
      </c>
      <c r="H158" s="19">
        <v>81</v>
      </c>
      <c r="I158" s="19">
        <v>92</v>
      </c>
      <c r="J158" s="19">
        <v>130</v>
      </c>
      <c r="K158" s="19">
        <v>122</v>
      </c>
    </row>
    <row r="159" spans="1:11" x14ac:dyDescent="0.35">
      <c r="A159" s="14" t="s">
        <v>85</v>
      </c>
      <c r="B159" s="15">
        <v>39</v>
      </c>
      <c r="C159" s="16">
        <v>44095</v>
      </c>
      <c r="D159" s="20">
        <f>SUM(weekly_all_cause_deaths_age_males[[#This Row],[&lt;1]:[85+]])</f>
        <v>471</v>
      </c>
      <c r="E159" s="19">
        <v>4</v>
      </c>
      <c r="F159" s="19">
        <v>0</v>
      </c>
      <c r="G159" s="19">
        <v>27</v>
      </c>
      <c r="H159" s="19">
        <v>78</v>
      </c>
      <c r="I159" s="19">
        <v>111</v>
      </c>
      <c r="J159" s="19">
        <v>135</v>
      </c>
      <c r="K159" s="19">
        <v>116</v>
      </c>
    </row>
    <row r="160" spans="1:11" x14ac:dyDescent="0.35">
      <c r="A160" s="14" t="s">
        <v>85</v>
      </c>
      <c r="B160" s="15">
        <v>40</v>
      </c>
      <c r="C160" s="16">
        <v>44102</v>
      </c>
      <c r="D160" s="20">
        <f>SUM(weekly_all_cause_deaths_age_males[[#This Row],[&lt;1]:[85+]])</f>
        <v>572</v>
      </c>
      <c r="E160" s="19">
        <v>4</v>
      </c>
      <c r="F160" s="19">
        <v>1</v>
      </c>
      <c r="G160" s="19">
        <v>27</v>
      </c>
      <c r="H160" s="19">
        <v>124</v>
      </c>
      <c r="I160" s="19">
        <v>122</v>
      </c>
      <c r="J160" s="19">
        <v>175</v>
      </c>
      <c r="K160" s="19">
        <v>119</v>
      </c>
    </row>
    <row r="161" spans="1:11" x14ac:dyDescent="0.35">
      <c r="A161" s="14" t="s">
        <v>85</v>
      </c>
      <c r="B161" s="15">
        <v>41</v>
      </c>
      <c r="C161" s="16">
        <v>44109</v>
      </c>
      <c r="D161" s="20">
        <f>SUM(weekly_all_cause_deaths_age_males[[#This Row],[&lt;1]:[85+]])</f>
        <v>511</v>
      </c>
      <c r="E161" s="19">
        <v>1</v>
      </c>
      <c r="F161" s="19">
        <v>1</v>
      </c>
      <c r="G161" s="19">
        <v>30</v>
      </c>
      <c r="H161" s="19">
        <v>96</v>
      </c>
      <c r="I161" s="19">
        <v>81</v>
      </c>
      <c r="J161" s="19">
        <v>150</v>
      </c>
      <c r="K161" s="19">
        <v>152</v>
      </c>
    </row>
    <row r="162" spans="1:11" x14ac:dyDescent="0.35">
      <c r="A162" s="14" t="s">
        <v>85</v>
      </c>
      <c r="B162" s="15">
        <v>42</v>
      </c>
      <c r="C162" s="16">
        <v>44116</v>
      </c>
      <c r="D162" s="20">
        <f>SUM(weekly_all_cause_deaths_age_males[[#This Row],[&lt;1]:[85+]])</f>
        <v>555</v>
      </c>
      <c r="E162" s="19">
        <v>1</v>
      </c>
      <c r="F162" s="19">
        <v>0</v>
      </c>
      <c r="G162" s="19">
        <v>31</v>
      </c>
      <c r="H162" s="19">
        <v>85</v>
      </c>
      <c r="I162" s="19">
        <v>104</v>
      </c>
      <c r="J162" s="19">
        <v>200</v>
      </c>
      <c r="K162" s="19">
        <v>134</v>
      </c>
    </row>
    <row r="163" spans="1:11" x14ac:dyDescent="0.35">
      <c r="A163" s="14" t="s">
        <v>85</v>
      </c>
      <c r="B163" s="15">
        <v>43</v>
      </c>
      <c r="C163" s="16">
        <v>44123</v>
      </c>
      <c r="D163" s="20">
        <f>SUM(weekly_all_cause_deaths_age_males[[#This Row],[&lt;1]:[85+]])</f>
        <v>613</v>
      </c>
      <c r="E163" s="19">
        <v>4</v>
      </c>
      <c r="F163" s="19">
        <v>0</v>
      </c>
      <c r="G163" s="19">
        <v>31</v>
      </c>
      <c r="H163" s="19">
        <v>117</v>
      </c>
      <c r="I163" s="19">
        <v>144</v>
      </c>
      <c r="J163" s="19">
        <v>162</v>
      </c>
      <c r="K163" s="19">
        <v>155</v>
      </c>
    </row>
    <row r="164" spans="1:11" x14ac:dyDescent="0.35">
      <c r="A164" s="14" t="s">
        <v>85</v>
      </c>
      <c r="B164" s="15">
        <v>44</v>
      </c>
      <c r="C164" s="16">
        <v>44130</v>
      </c>
      <c r="D164" s="21">
        <f>SUM(weekly_all_cause_deaths_age_males[[#This Row],[&lt;1]:[85+]])</f>
        <v>661</v>
      </c>
      <c r="E164" s="25">
        <v>1</v>
      </c>
      <c r="F164" s="25">
        <v>1</v>
      </c>
      <c r="G164" s="25">
        <v>26</v>
      </c>
      <c r="H164" s="25">
        <v>108</v>
      </c>
      <c r="I164" s="25">
        <v>151</v>
      </c>
      <c r="J164" s="25">
        <v>203</v>
      </c>
      <c r="K164" s="25">
        <v>171</v>
      </c>
    </row>
    <row r="165" spans="1:11" x14ac:dyDescent="0.35">
      <c r="A165" s="14" t="s">
        <v>85</v>
      </c>
      <c r="B165" s="15">
        <v>45</v>
      </c>
      <c r="C165" s="16">
        <v>44137</v>
      </c>
      <c r="D165" s="20">
        <f>SUM(weekly_all_cause_deaths_age_males[[#This Row],[&lt;1]:[85+]])</f>
        <v>622</v>
      </c>
      <c r="E165" s="19">
        <v>1</v>
      </c>
      <c r="F165" s="19">
        <v>2</v>
      </c>
      <c r="G165" s="19">
        <v>34</v>
      </c>
      <c r="H165" s="19">
        <v>107</v>
      </c>
      <c r="I165" s="19">
        <v>125</v>
      </c>
      <c r="J165" s="19">
        <v>200</v>
      </c>
      <c r="K165" s="19">
        <v>153</v>
      </c>
    </row>
    <row r="166" spans="1:11" x14ac:dyDescent="0.35">
      <c r="A166" s="14" t="s">
        <v>85</v>
      </c>
      <c r="B166" s="15">
        <v>46</v>
      </c>
      <c r="C166" s="16">
        <v>44144</v>
      </c>
      <c r="D166" s="3">
        <f>SUM(weekly_all_cause_deaths_age_males[[#This Row],[&lt;1]:[85+]])</f>
        <v>694</v>
      </c>
      <c r="E166" s="19">
        <v>2</v>
      </c>
      <c r="F166" s="19">
        <v>1</v>
      </c>
      <c r="G166" s="19">
        <v>19</v>
      </c>
      <c r="H166" s="19">
        <v>123</v>
      </c>
      <c r="I166" s="19">
        <v>131</v>
      </c>
      <c r="J166" s="19">
        <v>228</v>
      </c>
      <c r="K166" s="19">
        <v>190</v>
      </c>
    </row>
    <row r="167" spans="1:11" x14ac:dyDescent="0.35">
      <c r="A167" s="14" t="s">
        <v>85</v>
      </c>
      <c r="B167" s="15">
        <v>47</v>
      </c>
      <c r="C167" s="16">
        <v>44151</v>
      </c>
      <c r="D167" s="21">
        <f>SUM(weekly_all_cause_deaths_age_males[[#This Row],[&lt;1]:[85+]])</f>
        <v>692</v>
      </c>
      <c r="E167" s="25">
        <v>1</v>
      </c>
      <c r="F167" s="25">
        <v>0</v>
      </c>
      <c r="G167" s="25">
        <v>26</v>
      </c>
      <c r="H167" s="25">
        <v>116</v>
      </c>
      <c r="I167" s="25">
        <v>133</v>
      </c>
      <c r="J167" s="25">
        <v>210</v>
      </c>
      <c r="K167" s="25">
        <v>206</v>
      </c>
    </row>
    <row r="168" spans="1:11" x14ac:dyDescent="0.35">
      <c r="A168" s="14" t="s">
        <v>85</v>
      </c>
      <c r="B168" s="15">
        <v>48</v>
      </c>
      <c r="C168" s="16">
        <v>44158</v>
      </c>
      <c r="D168" s="21">
        <f>SUM(weekly_all_cause_deaths_age_males[[#This Row],[&lt;1]:[85+]])</f>
        <v>678</v>
      </c>
      <c r="E168" s="52">
        <v>2</v>
      </c>
      <c r="F168" s="52">
        <v>1</v>
      </c>
      <c r="G168" s="52">
        <v>30</v>
      </c>
      <c r="H168" s="52">
        <v>122</v>
      </c>
      <c r="I168" s="52">
        <v>144</v>
      </c>
      <c r="J168" s="52">
        <v>204</v>
      </c>
      <c r="K168" s="52">
        <v>175</v>
      </c>
    </row>
    <row r="169" spans="1:11" x14ac:dyDescent="0.35">
      <c r="A169" s="14" t="s">
        <v>85</v>
      </c>
      <c r="B169" s="15">
        <v>49</v>
      </c>
      <c r="C169" s="16">
        <v>44165</v>
      </c>
      <c r="D169" s="21">
        <f>SUM(weekly_all_cause_deaths_age_males[[#This Row],[&lt;1]:[85+]])</f>
        <v>657</v>
      </c>
      <c r="E169" s="52">
        <v>3</v>
      </c>
      <c r="F169" s="52">
        <v>1</v>
      </c>
      <c r="G169" s="52">
        <v>25</v>
      </c>
      <c r="H169" s="52">
        <v>115</v>
      </c>
      <c r="I169" s="52">
        <v>150</v>
      </c>
      <c r="J169" s="52">
        <v>180</v>
      </c>
      <c r="K169" s="52">
        <v>183</v>
      </c>
    </row>
    <row r="170" spans="1:11" x14ac:dyDescent="0.35">
      <c r="A170" s="14" t="s">
        <v>85</v>
      </c>
      <c r="B170" s="15">
        <v>50</v>
      </c>
      <c r="C170" s="16">
        <v>44172</v>
      </c>
      <c r="D170" s="21">
        <f>SUM(weekly_all_cause_deaths_age_males[[#This Row],[&lt;1]:[85+]])</f>
        <v>633</v>
      </c>
      <c r="E170" s="52">
        <v>0</v>
      </c>
      <c r="F170" s="52">
        <v>0</v>
      </c>
      <c r="G170" s="52">
        <v>30</v>
      </c>
      <c r="H170" s="52">
        <v>100</v>
      </c>
      <c r="I170" s="52">
        <v>132</v>
      </c>
      <c r="J170" s="52">
        <v>198</v>
      </c>
      <c r="K170" s="52">
        <v>173</v>
      </c>
    </row>
    <row r="171" spans="1:11" x14ac:dyDescent="0.35">
      <c r="A171" s="14" t="s">
        <v>85</v>
      </c>
      <c r="B171" s="15">
        <v>51</v>
      </c>
      <c r="C171" s="16">
        <v>44179</v>
      </c>
      <c r="D171" s="21">
        <f>SUM(weekly_all_cause_deaths_age_males[[#This Row],[&lt;1]:[85+]])</f>
        <v>629</v>
      </c>
      <c r="E171" s="52">
        <v>0</v>
      </c>
      <c r="F171" s="52">
        <v>1</v>
      </c>
      <c r="G171" s="52">
        <v>26</v>
      </c>
      <c r="H171" s="52">
        <v>113</v>
      </c>
      <c r="I171" s="52">
        <v>121</v>
      </c>
      <c r="J171" s="52">
        <v>204</v>
      </c>
      <c r="K171" s="52">
        <v>164</v>
      </c>
    </row>
    <row r="172" spans="1:11" x14ac:dyDescent="0.35">
      <c r="A172" s="14" t="s">
        <v>85</v>
      </c>
      <c r="B172" s="15">
        <v>52</v>
      </c>
      <c r="C172" s="16">
        <v>44186</v>
      </c>
      <c r="D172" s="21">
        <f>SUM(weekly_all_cause_deaths_age_males[[#This Row],[&lt;1]:[85+]])</f>
        <v>621</v>
      </c>
      <c r="E172" s="52">
        <v>1</v>
      </c>
      <c r="F172" s="52">
        <v>0</v>
      </c>
      <c r="G172" s="52">
        <v>29</v>
      </c>
      <c r="H172" s="52">
        <v>109</v>
      </c>
      <c r="I172" s="52">
        <v>138</v>
      </c>
      <c r="J172" s="52">
        <v>197</v>
      </c>
      <c r="K172" s="52">
        <v>147</v>
      </c>
    </row>
    <row r="173" spans="1:11" x14ac:dyDescent="0.35">
      <c r="A173" s="11" t="s">
        <v>85</v>
      </c>
      <c r="B173" s="15">
        <v>53</v>
      </c>
      <c r="C173" s="16">
        <v>44193</v>
      </c>
      <c r="D173" s="21">
        <f>SUM(weekly_all_cause_deaths_age_males[[#This Row],[&lt;1]:[85+]])</f>
        <v>596</v>
      </c>
      <c r="E173" s="52">
        <v>3</v>
      </c>
      <c r="F173" s="52">
        <v>2</v>
      </c>
      <c r="G173" s="52">
        <v>18</v>
      </c>
      <c r="H173" s="52">
        <v>81</v>
      </c>
      <c r="I173" s="52">
        <v>129</v>
      </c>
      <c r="J173" s="52">
        <v>187</v>
      </c>
      <c r="K173" s="52">
        <v>176</v>
      </c>
    </row>
    <row r="174" spans="1:11" x14ac:dyDescent="0.35">
      <c r="A174" s="68" t="s">
        <v>179</v>
      </c>
      <c r="B174" s="69" t="s">
        <v>179</v>
      </c>
      <c r="C174" s="69" t="s">
        <v>179</v>
      </c>
      <c r="D174" s="70">
        <f>SUBTOTAL(109,weekly_all_cause_deaths_age_males[All ages])</f>
        <v>32464</v>
      </c>
      <c r="E174" s="71">
        <f>SUBTOTAL(109,weekly_all_cause_deaths_age_males[&lt;1])</f>
        <v>80</v>
      </c>
      <c r="F174" s="71">
        <f>SUBTOTAL(109,weekly_all_cause_deaths_age_males[1-14])</f>
        <v>46</v>
      </c>
      <c r="G174" s="71">
        <f>SUBTOTAL(109,weekly_all_cause_deaths_age_males[15-44])</f>
        <v>1587</v>
      </c>
      <c r="H174" s="71">
        <f>SUBTOTAL(109,weekly_all_cause_deaths_age_males[45-64])</f>
        <v>5606</v>
      </c>
      <c r="I174" s="71">
        <f>SUBTOTAL(109,weekly_all_cause_deaths_age_males[65-74])</f>
        <v>6790</v>
      </c>
      <c r="J174" s="71">
        <f>SUBTOTAL(109,weekly_all_cause_deaths_age_males[75-84])</f>
        <v>9967</v>
      </c>
      <c r="K174" s="71">
        <f>SUBTOTAL(109,weekly_all_cause_deaths_age_males[85+])</f>
        <v>8388</v>
      </c>
    </row>
  </sheetData>
  <hyperlinks>
    <hyperlink ref="A4" location="Contents!A1" display="Back to table of contents" xr:uid="{00000000-0004-0000-0600-000000000000}"/>
  </hyperlinks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9"/>
  <sheetViews>
    <sheetView zoomScaleNormal="100" workbookViewId="0"/>
  </sheetViews>
  <sheetFormatPr defaultColWidth="9.26953125" defaultRowHeight="15.5" x14ac:dyDescent="0.35"/>
  <cols>
    <col min="1" max="13" width="16.7265625" style="10" customWidth="1"/>
    <col min="14" max="18" width="16.7265625" style="61" customWidth="1"/>
    <col min="19" max="16384" width="9.26953125" style="10"/>
  </cols>
  <sheetData>
    <row r="1" spans="1:18" s="5" customFormat="1" x14ac:dyDescent="0.35">
      <c r="A1" s="4" t="s">
        <v>167</v>
      </c>
      <c r="N1" s="18"/>
      <c r="O1" s="18"/>
      <c r="P1" s="18"/>
      <c r="Q1" s="18"/>
      <c r="R1" s="18"/>
    </row>
    <row r="2" spans="1:18" s="5" customFormat="1" x14ac:dyDescent="0.35">
      <c r="A2" s="6" t="s">
        <v>115</v>
      </c>
      <c r="N2" s="18"/>
      <c r="O2" s="18"/>
      <c r="P2" s="18"/>
      <c r="Q2" s="18"/>
      <c r="R2" s="18"/>
    </row>
    <row r="3" spans="1:18" s="5" customFormat="1" x14ac:dyDescent="0.35">
      <c r="A3" s="6" t="s">
        <v>49</v>
      </c>
      <c r="N3" s="18"/>
      <c r="O3" s="18"/>
      <c r="P3" s="18"/>
      <c r="Q3" s="18"/>
      <c r="R3" s="18"/>
    </row>
    <row r="4" spans="1:18" s="5" customFormat="1" ht="30" customHeight="1" x14ac:dyDescent="0.35">
      <c r="A4" s="63" t="s">
        <v>53</v>
      </c>
      <c r="N4" s="18"/>
      <c r="O4" s="18"/>
      <c r="P4" s="18"/>
      <c r="Q4" s="18"/>
      <c r="R4" s="18"/>
    </row>
    <row r="5" spans="1:18" ht="47.15" customHeight="1" thickBot="1" x14ac:dyDescent="0.4">
      <c r="A5" s="12" t="s">
        <v>63</v>
      </c>
      <c r="B5" s="13" t="s">
        <v>57</v>
      </c>
      <c r="C5" s="13" t="s">
        <v>86</v>
      </c>
      <c r="D5" s="8" t="s">
        <v>1</v>
      </c>
      <c r="E5" s="9" t="s">
        <v>69</v>
      </c>
      <c r="F5" s="9" t="s">
        <v>70</v>
      </c>
      <c r="G5" s="9" t="s">
        <v>8</v>
      </c>
      <c r="H5" s="9" t="s">
        <v>15</v>
      </c>
      <c r="I5" s="9" t="s">
        <v>71</v>
      </c>
      <c r="J5" s="9" t="s">
        <v>72</v>
      </c>
      <c r="K5" s="9" t="s">
        <v>73</v>
      </c>
      <c r="L5" s="7" t="s">
        <v>17</v>
      </c>
      <c r="M5" s="7" t="s">
        <v>74</v>
      </c>
      <c r="N5" s="7" t="s">
        <v>75</v>
      </c>
      <c r="O5" s="7" t="s">
        <v>76</v>
      </c>
      <c r="P5" s="7" t="s">
        <v>77</v>
      </c>
      <c r="Q5" s="7" t="s">
        <v>78</v>
      </c>
      <c r="R5" s="7" t="s">
        <v>79</v>
      </c>
    </row>
    <row r="6" spans="1:18" ht="30" customHeight="1" x14ac:dyDescent="0.35">
      <c r="A6" s="14" t="s">
        <v>85</v>
      </c>
      <c r="B6" s="15">
        <v>1</v>
      </c>
      <c r="C6" s="16">
        <v>43829</v>
      </c>
      <c r="D6" s="17">
        <f>SUM(weekly_all_cause_deaths_health_board[[#This Row],[Ayrshire and Arran]:[Western Isles]])</f>
        <v>1161</v>
      </c>
      <c r="E6" s="1">
        <f>weekly_all_cause_deaths_council_area[[#This Row],[East Ayrshire]]+weekly_all_cause_deaths_council_area[[#This Row],[North Ayrshire]]+weekly_all_cause_deaths_council_area[[#This Row],[South Ayrshire]]</f>
        <v>105</v>
      </c>
      <c r="F6" s="1">
        <f>weekly_all_cause_deaths_council_area[[#This Row],[Scottish Borders ]]</f>
        <v>20</v>
      </c>
      <c r="G6" s="1">
        <f>weekly_all_cause_deaths_council_area[[#This Row],[Dumfries and Galloway]]</f>
        <v>37</v>
      </c>
      <c r="H6" s="1">
        <f>weekly_all_cause_deaths_council_area[[#This Row],[Fife]]</f>
        <v>70</v>
      </c>
      <c r="I6" s="1">
        <f>weekly_all_cause_deaths_council_area[[#This Row],[Clackmannanshire]]+weekly_all_cause_deaths_council_area[[#This Row],[Falkirk]]+weekly_all_cause_deaths_council_area[[#This Row],[Stirling]]</f>
        <v>76</v>
      </c>
      <c r="J6" s="1">
        <f>weekly_all_cause_deaths_council_area[[#This Row],[Aberdeen City]]+weekly_all_cause_deaths_council_area[[#This Row],[Aberdeenshire]]+weekly_all_cause_deaths_council_area[[#This Row],[Moray]]</f>
        <v>113</v>
      </c>
      <c r="K6" s="1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250</v>
      </c>
      <c r="L6" s="1">
        <f>weekly_all_cause_deaths_council_area[[#This Row],[Argyll and Bute]]+weekly_all_cause_deaths_council_area[[#This Row],[Highland]]</f>
        <v>75</v>
      </c>
      <c r="M6" s="1">
        <f>weekly_all_cause_deaths_council_area[[#This Row],[North Lanarkshire]]+weekly_all_cause_deaths_council_area[[#This Row],[South Lanarkshire]]</f>
        <v>138</v>
      </c>
      <c r="N6" s="1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166</v>
      </c>
      <c r="O6" s="1">
        <f>weekly_all_cause_deaths_council_area[[#This Row],[Orkney Islands]]</f>
        <v>1</v>
      </c>
      <c r="P6" s="1">
        <f>weekly_all_cause_deaths_council_area[[#This Row],[Shetland Islands]]</f>
        <v>5</v>
      </c>
      <c r="Q6" s="1">
        <f>weekly_all_cause_deaths_council_area[[#This Row],[Angus]]+weekly_all_cause_deaths_council_area[[#This Row],[Dundee City]]+weekly_all_cause_deaths_council_area[[#This Row],[Perth and Kinross]]</f>
        <v>96</v>
      </c>
      <c r="R6" s="1">
        <f>weekly_all_cause_deaths_council_area[[#This Row],[Na h-Eileanan Siar]]</f>
        <v>9</v>
      </c>
    </row>
    <row r="7" spans="1:18" ht="16.149999999999999" customHeight="1" x14ac:dyDescent="0.35">
      <c r="A7" s="14" t="s">
        <v>85</v>
      </c>
      <c r="B7" s="15">
        <v>2</v>
      </c>
      <c r="C7" s="16">
        <v>43836</v>
      </c>
      <c r="D7" s="3">
        <f>SUM(weekly_all_cause_deaths_health_board[[#This Row],[Ayrshire and Arran]:[Western Isles]])</f>
        <v>1567</v>
      </c>
      <c r="E7" s="2">
        <f>weekly_all_cause_deaths_council_area[[#This Row],[East Ayrshire]]+weekly_all_cause_deaths_council_area[[#This Row],[North Ayrshire]]+weekly_all_cause_deaths_council_area[[#This Row],[South Ayrshire]]</f>
        <v>121</v>
      </c>
      <c r="F7" s="2">
        <f>weekly_all_cause_deaths_council_area[[#This Row],[Scottish Borders ]]</f>
        <v>41</v>
      </c>
      <c r="G7" s="2">
        <f>weekly_all_cause_deaths_council_area[[#This Row],[Dumfries and Galloway]]</f>
        <v>58</v>
      </c>
      <c r="H7" s="2">
        <f>weekly_all_cause_deaths_council_area[[#This Row],[Fife]]</f>
        <v>96</v>
      </c>
      <c r="I7" s="2">
        <f>weekly_all_cause_deaths_council_area[[#This Row],[Clackmannanshire]]+weekly_all_cause_deaths_council_area[[#This Row],[Falkirk]]+weekly_all_cause_deaths_council_area[[#This Row],[Stirling]]</f>
        <v>92</v>
      </c>
      <c r="J7" s="2">
        <f>weekly_all_cause_deaths_council_area[[#This Row],[Aberdeen City]]+weekly_all_cause_deaths_council_area[[#This Row],[Aberdeenshire]]+weekly_all_cause_deaths_council_area[[#This Row],[Moray]]</f>
        <v>148</v>
      </c>
      <c r="K7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353</v>
      </c>
      <c r="L7" s="2">
        <f>weekly_all_cause_deaths_council_area[[#This Row],[Argyll and Bute]]+weekly_all_cause_deaths_council_area[[#This Row],[Highland]]</f>
        <v>95</v>
      </c>
      <c r="M7" s="52">
        <f>weekly_all_cause_deaths_council_area[[#This Row],[North Lanarkshire]]+weekly_all_cause_deaths_council_area[[#This Row],[South Lanarkshire]]</f>
        <v>194</v>
      </c>
      <c r="N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196</v>
      </c>
      <c r="O7" s="60">
        <f>weekly_all_cause_deaths_council_area[[#This Row],[Orkney Islands]]</f>
        <v>5</v>
      </c>
      <c r="P7" s="60">
        <f>weekly_all_cause_deaths_council_area[[#This Row],[Shetland Islands]]</f>
        <v>4</v>
      </c>
      <c r="Q7" s="60">
        <f>weekly_all_cause_deaths_council_area[[#This Row],[Angus]]+weekly_all_cause_deaths_council_area[[#This Row],[Dundee City]]+weekly_all_cause_deaths_council_area[[#This Row],[Perth and Kinross]]</f>
        <v>156</v>
      </c>
      <c r="R7" s="60">
        <f>weekly_all_cause_deaths_council_area[[#This Row],[Na h-Eileanan Siar]]</f>
        <v>8</v>
      </c>
    </row>
    <row r="8" spans="1:18" ht="16.149999999999999" customHeight="1" x14ac:dyDescent="0.35">
      <c r="A8" s="14" t="s">
        <v>85</v>
      </c>
      <c r="B8" s="15">
        <v>3</v>
      </c>
      <c r="C8" s="16">
        <v>43843</v>
      </c>
      <c r="D8" s="3">
        <f>SUM(weekly_all_cause_deaths_health_board[[#This Row],[Ayrshire and Arran]:[Western Isles]])</f>
        <v>1322</v>
      </c>
      <c r="E8" s="2">
        <f>weekly_all_cause_deaths_council_area[[#This Row],[East Ayrshire]]+weekly_all_cause_deaths_council_area[[#This Row],[North Ayrshire]]+weekly_all_cause_deaths_council_area[[#This Row],[South Ayrshire]]</f>
        <v>114</v>
      </c>
      <c r="F8" s="2">
        <f>weekly_all_cause_deaths_council_area[[#This Row],[Scottish Borders ]]</f>
        <v>38</v>
      </c>
      <c r="G8" s="2">
        <f>weekly_all_cause_deaths_council_area[[#This Row],[Dumfries and Galloway]]</f>
        <v>42</v>
      </c>
      <c r="H8" s="2">
        <f>weekly_all_cause_deaths_council_area[[#This Row],[Fife]]</f>
        <v>96</v>
      </c>
      <c r="I8" s="2">
        <f>weekly_all_cause_deaths_council_area[[#This Row],[Clackmannanshire]]+weekly_all_cause_deaths_council_area[[#This Row],[Falkirk]]+weekly_all_cause_deaths_council_area[[#This Row],[Stirling]]</f>
        <v>68</v>
      </c>
      <c r="J8" s="2">
        <f>weekly_all_cause_deaths_council_area[[#This Row],[Aberdeen City]]+weekly_all_cause_deaths_council_area[[#This Row],[Aberdeenshire]]+weekly_all_cause_deaths_council_area[[#This Row],[Moray]]</f>
        <v>122</v>
      </c>
      <c r="K8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296</v>
      </c>
      <c r="L8" s="2">
        <f>weekly_all_cause_deaths_council_area[[#This Row],[Argyll and Bute]]+weekly_all_cause_deaths_council_area[[#This Row],[Highland]]</f>
        <v>94</v>
      </c>
      <c r="M8" s="52">
        <f>weekly_all_cause_deaths_council_area[[#This Row],[North Lanarkshire]]+weekly_all_cause_deaths_council_area[[#This Row],[South Lanarkshire]]</f>
        <v>165</v>
      </c>
      <c r="N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155</v>
      </c>
      <c r="O8" s="60">
        <f>weekly_all_cause_deaths_council_area[[#This Row],[Orkney Islands]]</f>
        <v>2</v>
      </c>
      <c r="P8" s="60">
        <f>weekly_all_cause_deaths_council_area[[#This Row],[Shetland Islands]]</f>
        <v>2</v>
      </c>
      <c r="Q8" s="60">
        <f>weekly_all_cause_deaths_council_area[[#This Row],[Angus]]+weekly_all_cause_deaths_council_area[[#This Row],[Dundee City]]+weekly_all_cause_deaths_council_area[[#This Row],[Perth and Kinross]]</f>
        <v>118</v>
      </c>
      <c r="R8" s="60">
        <f>weekly_all_cause_deaths_council_area[[#This Row],[Na h-Eileanan Siar]]</f>
        <v>10</v>
      </c>
    </row>
    <row r="9" spans="1:18" ht="16.149999999999999" customHeight="1" x14ac:dyDescent="0.35">
      <c r="A9" s="14" t="s">
        <v>85</v>
      </c>
      <c r="B9" s="15">
        <v>4</v>
      </c>
      <c r="C9" s="16">
        <v>43850</v>
      </c>
      <c r="D9" s="3">
        <f>SUM(weekly_all_cause_deaths_health_board[[#This Row],[Ayrshire and Arran]:[Western Isles]])</f>
        <v>1226</v>
      </c>
      <c r="E9" s="2">
        <f>weekly_all_cause_deaths_council_area[[#This Row],[East Ayrshire]]+weekly_all_cause_deaths_council_area[[#This Row],[North Ayrshire]]+weekly_all_cause_deaths_council_area[[#This Row],[South Ayrshire]]</f>
        <v>103</v>
      </c>
      <c r="F9" s="2">
        <f>weekly_all_cause_deaths_council_area[[#This Row],[Scottish Borders ]]</f>
        <v>29</v>
      </c>
      <c r="G9" s="2">
        <f>weekly_all_cause_deaths_council_area[[#This Row],[Dumfries and Galloway]]</f>
        <v>42</v>
      </c>
      <c r="H9" s="2">
        <f>weekly_all_cause_deaths_council_area[[#This Row],[Fife]]</f>
        <v>96</v>
      </c>
      <c r="I9" s="2">
        <f>weekly_all_cause_deaths_council_area[[#This Row],[Clackmannanshire]]+weekly_all_cause_deaths_council_area[[#This Row],[Falkirk]]+weekly_all_cause_deaths_council_area[[#This Row],[Stirling]]</f>
        <v>78</v>
      </c>
      <c r="J9" s="2">
        <f>weekly_all_cause_deaths_council_area[[#This Row],[Aberdeen City]]+weekly_all_cause_deaths_council_area[[#This Row],[Aberdeenshire]]+weekly_all_cause_deaths_council_area[[#This Row],[Moray]]</f>
        <v>117</v>
      </c>
      <c r="K9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235</v>
      </c>
      <c r="L9" s="2">
        <f>weekly_all_cause_deaths_council_area[[#This Row],[Argyll and Bute]]+weekly_all_cause_deaths_council_area[[#This Row],[Highland]]</f>
        <v>77</v>
      </c>
      <c r="M9" s="52">
        <f>weekly_all_cause_deaths_council_area[[#This Row],[North Lanarkshire]]+weekly_all_cause_deaths_council_area[[#This Row],[South Lanarkshire]]</f>
        <v>161</v>
      </c>
      <c r="N9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165</v>
      </c>
      <c r="O9" s="60">
        <f>weekly_all_cause_deaths_council_area[[#This Row],[Orkney Islands]]</f>
        <v>4</v>
      </c>
      <c r="P9" s="60">
        <f>weekly_all_cause_deaths_council_area[[#This Row],[Shetland Islands]]</f>
        <v>2</v>
      </c>
      <c r="Q9" s="60">
        <f>weekly_all_cause_deaths_council_area[[#This Row],[Angus]]+weekly_all_cause_deaths_council_area[[#This Row],[Dundee City]]+weekly_all_cause_deaths_council_area[[#This Row],[Perth and Kinross]]</f>
        <v>107</v>
      </c>
      <c r="R9" s="60">
        <f>weekly_all_cause_deaths_council_area[[#This Row],[Na h-Eileanan Siar]]</f>
        <v>10</v>
      </c>
    </row>
    <row r="10" spans="1:18" ht="16.149999999999999" customHeight="1" x14ac:dyDescent="0.35">
      <c r="A10" s="14" t="s">
        <v>85</v>
      </c>
      <c r="B10" s="15">
        <v>5</v>
      </c>
      <c r="C10" s="16">
        <v>43857</v>
      </c>
      <c r="D10" s="3">
        <f>SUM(weekly_all_cause_deaths_health_board[[#This Row],[Ayrshire and Arran]:[Western Isles]])</f>
        <v>1188</v>
      </c>
      <c r="E10" s="2">
        <f>weekly_all_cause_deaths_council_area[[#This Row],[East Ayrshire]]+weekly_all_cause_deaths_council_area[[#This Row],[North Ayrshire]]+weekly_all_cause_deaths_council_area[[#This Row],[South Ayrshire]]</f>
        <v>96</v>
      </c>
      <c r="F10" s="2">
        <f>weekly_all_cause_deaths_council_area[[#This Row],[Scottish Borders ]]</f>
        <v>27</v>
      </c>
      <c r="G10" s="2">
        <f>weekly_all_cause_deaths_council_area[[#This Row],[Dumfries and Galloway]]</f>
        <v>43</v>
      </c>
      <c r="H10" s="2">
        <f>weekly_all_cause_deaths_council_area[[#This Row],[Fife]]</f>
        <v>79</v>
      </c>
      <c r="I10" s="2">
        <f>weekly_all_cause_deaths_council_area[[#This Row],[Clackmannanshire]]+weekly_all_cause_deaths_council_area[[#This Row],[Falkirk]]+weekly_all_cause_deaths_council_area[[#This Row],[Stirling]]</f>
        <v>67</v>
      </c>
      <c r="J10" s="2">
        <f>weekly_all_cause_deaths_council_area[[#This Row],[Aberdeen City]]+weekly_all_cause_deaths_council_area[[#This Row],[Aberdeenshire]]+weekly_all_cause_deaths_council_area[[#This Row],[Moray]]</f>
        <v>109</v>
      </c>
      <c r="K10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264</v>
      </c>
      <c r="L10" s="2">
        <f>weekly_all_cause_deaths_council_area[[#This Row],[Argyll and Bute]]+weekly_all_cause_deaths_council_area[[#This Row],[Highland]]</f>
        <v>82</v>
      </c>
      <c r="M10" s="52">
        <f>weekly_all_cause_deaths_council_area[[#This Row],[North Lanarkshire]]+weekly_all_cause_deaths_council_area[[#This Row],[South Lanarkshire]]</f>
        <v>151</v>
      </c>
      <c r="N10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154</v>
      </c>
      <c r="O10" s="60">
        <f>weekly_all_cause_deaths_council_area[[#This Row],[Orkney Islands]]</f>
        <v>2</v>
      </c>
      <c r="P10" s="60">
        <f>weekly_all_cause_deaths_council_area[[#This Row],[Shetland Islands]]</f>
        <v>5</v>
      </c>
      <c r="Q10" s="60">
        <f>weekly_all_cause_deaths_council_area[[#This Row],[Angus]]+weekly_all_cause_deaths_council_area[[#This Row],[Dundee City]]+weekly_all_cause_deaths_council_area[[#This Row],[Perth and Kinross]]</f>
        <v>99</v>
      </c>
      <c r="R10" s="60">
        <f>weekly_all_cause_deaths_council_area[[#This Row],[Na h-Eileanan Siar]]</f>
        <v>10</v>
      </c>
    </row>
    <row r="11" spans="1:18" ht="16.149999999999999" customHeight="1" x14ac:dyDescent="0.35">
      <c r="A11" s="14" t="s">
        <v>85</v>
      </c>
      <c r="B11" s="15">
        <v>6</v>
      </c>
      <c r="C11" s="16">
        <v>43864</v>
      </c>
      <c r="D11" s="3">
        <f>SUM(weekly_all_cause_deaths_health_board[[#This Row],[Ayrshire and Arran]:[Western Isles]])</f>
        <v>1216</v>
      </c>
      <c r="E11" s="2">
        <f>weekly_all_cause_deaths_council_area[[#This Row],[East Ayrshire]]+weekly_all_cause_deaths_council_area[[#This Row],[North Ayrshire]]+weekly_all_cause_deaths_council_area[[#This Row],[South Ayrshire]]</f>
        <v>88</v>
      </c>
      <c r="F11" s="2">
        <f>weekly_all_cause_deaths_council_area[[#This Row],[Scottish Borders ]]</f>
        <v>24</v>
      </c>
      <c r="G11" s="2">
        <f>weekly_all_cause_deaths_council_area[[#This Row],[Dumfries and Galloway]]</f>
        <v>44</v>
      </c>
      <c r="H11" s="2">
        <f>weekly_all_cause_deaths_council_area[[#This Row],[Fife]]</f>
        <v>81</v>
      </c>
      <c r="I11" s="2">
        <f>weekly_all_cause_deaths_council_area[[#This Row],[Clackmannanshire]]+weekly_all_cause_deaths_council_area[[#This Row],[Falkirk]]+weekly_all_cause_deaths_council_area[[#This Row],[Stirling]]</f>
        <v>55</v>
      </c>
      <c r="J11" s="2">
        <f>weekly_all_cause_deaths_council_area[[#This Row],[Aberdeen City]]+weekly_all_cause_deaths_council_area[[#This Row],[Aberdeenshire]]+weekly_all_cause_deaths_council_area[[#This Row],[Moray]]</f>
        <v>131</v>
      </c>
      <c r="K11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245</v>
      </c>
      <c r="L11" s="2">
        <f>weekly_all_cause_deaths_council_area[[#This Row],[Argyll and Bute]]+weekly_all_cause_deaths_council_area[[#This Row],[Highland]]</f>
        <v>69</v>
      </c>
      <c r="M11" s="52">
        <f>weekly_all_cause_deaths_council_area[[#This Row],[North Lanarkshire]]+weekly_all_cause_deaths_council_area[[#This Row],[South Lanarkshire]]</f>
        <v>169</v>
      </c>
      <c r="N11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191</v>
      </c>
      <c r="O11" s="60">
        <f>weekly_all_cause_deaths_council_area[[#This Row],[Orkney Islands]]</f>
        <v>5</v>
      </c>
      <c r="P11" s="60">
        <f>weekly_all_cause_deaths_council_area[[#This Row],[Shetland Islands]]</f>
        <v>6</v>
      </c>
      <c r="Q11" s="60">
        <f>weekly_all_cause_deaths_council_area[[#This Row],[Angus]]+weekly_all_cause_deaths_council_area[[#This Row],[Dundee City]]+weekly_all_cause_deaths_council_area[[#This Row],[Perth and Kinross]]</f>
        <v>97</v>
      </c>
      <c r="R11" s="60">
        <f>weekly_all_cause_deaths_council_area[[#This Row],[Na h-Eileanan Siar]]</f>
        <v>11</v>
      </c>
    </row>
    <row r="12" spans="1:18" ht="16.149999999999999" customHeight="1" x14ac:dyDescent="0.35">
      <c r="A12" s="14" t="s">
        <v>85</v>
      </c>
      <c r="B12" s="15">
        <v>7</v>
      </c>
      <c r="C12" s="16">
        <v>43871</v>
      </c>
      <c r="D12" s="3">
        <f>SUM(weekly_all_cause_deaths_health_board[[#This Row],[Ayrshire and Arran]:[Western Isles]])</f>
        <v>1162</v>
      </c>
      <c r="E12" s="2">
        <f>weekly_all_cause_deaths_council_area[[#This Row],[East Ayrshire]]+weekly_all_cause_deaths_council_area[[#This Row],[North Ayrshire]]+weekly_all_cause_deaths_council_area[[#This Row],[South Ayrshire]]</f>
        <v>76</v>
      </c>
      <c r="F12" s="2">
        <f>weekly_all_cause_deaths_council_area[[#This Row],[Scottish Borders ]]</f>
        <v>25</v>
      </c>
      <c r="G12" s="2">
        <f>weekly_all_cause_deaths_council_area[[#This Row],[Dumfries and Galloway]]</f>
        <v>43</v>
      </c>
      <c r="H12" s="2">
        <f>weekly_all_cause_deaths_council_area[[#This Row],[Fife]]</f>
        <v>80</v>
      </c>
      <c r="I12" s="2">
        <f>weekly_all_cause_deaths_council_area[[#This Row],[Clackmannanshire]]+weekly_all_cause_deaths_council_area[[#This Row],[Falkirk]]+weekly_all_cause_deaths_council_area[[#This Row],[Stirling]]</f>
        <v>73</v>
      </c>
      <c r="J12" s="2">
        <f>weekly_all_cause_deaths_council_area[[#This Row],[Aberdeen City]]+weekly_all_cause_deaths_council_area[[#This Row],[Aberdeenshire]]+weekly_all_cause_deaths_council_area[[#This Row],[Moray]]</f>
        <v>119</v>
      </c>
      <c r="K12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241</v>
      </c>
      <c r="L12" s="2">
        <f>weekly_all_cause_deaths_council_area[[#This Row],[Argyll and Bute]]+weekly_all_cause_deaths_council_area[[#This Row],[Highland]]</f>
        <v>68</v>
      </c>
      <c r="M12" s="52">
        <f>weekly_all_cause_deaths_council_area[[#This Row],[North Lanarkshire]]+weekly_all_cause_deaths_council_area[[#This Row],[South Lanarkshire]]</f>
        <v>157</v>
      </c>
      <c r="N12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171</v>
      </c>
      <c r="O12" s="60">
        <f>weekly_all_cause_deaths_council_area[[#This Row],[Orkney Islands]]</f>
        <v>3</v>
      </c>
      <c r="P12" s="60">
        <f>weekly_all_cause_deaths_council_area[[#This Row],[Shetland Islands]]</f>
        <v>4</v>
      </c>
      <c r="Q12" s="60">
        <f>weekly_all_cause_deaths_council_area[[#This Row],[Angus]]+weekly_all_cause_deaths_council_area[[#This Row],[Dundee City]]+weekly_all_cause_deaths_council_area[[#This Row],[Perth and Kinross]]</f>
        <v>99</v>
      </c>
      <c r="R12" s="60">
        <f>weekly_all_cause_deaths_council_area[[#This Row],[Na h-Eileanan Siar]]</f>
        <v>3</v>
      </c>
    </row>
    <row r="13" spans="1:18" ht="16.149999999999999" customHeight="1" x14ac:dyDescent="0.35">
      <c r="A13" s="14" t="s">
        <v>85</v>
      </c>
      <c r="B13" s="15">
        <v>8</v>
      </c>
      <c r="C13" s="16">
        <v>43878</v>
      </c>
      <c r="D13" s="3">
        <f>SUM(weekly_all_cause_deaths_health_board[[#This Row],[Ayrshire and Arran]:[Western Isles]])</f>
        <v>1162</v>
      </c>
      <c r="E13" s="2">
        <f>weekly_all_cause_deaths_council_area[[#This Row],[East Ayrshire]]+weekly_all_cause_deaths_council_area[[#This Row],[North Ayrshire]]+weekly_all_cause_deaths_council_area[[#This Row],[South Ayrshire]]</f>
        <v>105</v>
      </c>
      <c r="F13" s="2">
        <f>weekly_all_cause_deaths_council_area[[#This Row],[Scottish Borders ]]</f>
        <v>23</v>
      </c>
      <c r="G13" s="2">
        <f>weekly_all_cause_deaths_council_area[[#This Row],[Dumfries and Galloway]]</f>
        <v>39</v>
      </c>
      <c r="H13" s="2">
        <f>weekly_all_cause_deaths_council_area[[#This Row],[Fife]]</f>
        <v>88</v>
      </c>
      <c r="I13" s="2">
        <f>weekly_all_cause_deaths_council_area[[#This Row],[Clackmannanshire]]+weekly_all_cause_deaths_council_area[[#This Row],[Falkirk]]+weekly_all_cause_deaths_council_area[[#This Row],[Stirling]]</f>
        <v>65</v>
      </c>
      <c r="J13" s="2">
        <f>weekly_all_cause_deaths_council_area[[#This Row],[Aberdeen City]]+weekly_all_cause_deaths_council_area[[#This Row],[Aberdeenshire]]+weekly_all_cause_deaths_council_area[[#This Row],[Moray]]</f>
        <v>131</v>
      </c>
      <c r="K13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238</v>
      </c>
      <c r="L13" s="2">
        <f>weekly_all_cause_deaths_council_area[[#This Row],[Argyll and Bute]]+weekly_all_cause_deaths_council_area[[#This Row],[Highland]]</f>
        <v>66</v>
      </c>
      <c r="M13" s="52">
        <f>weekly_all_cause_deaths_council_area[[#This Row],[North Lanarkshire]]+weekly_all_cause_deaths_council_area[[#This Row],[South Lanarkshire]]</f>
        <v>144</v>
      </c>
      <c r="N13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152</v>
      </c>
      <c r="O13" s="60">
        <f>weekly_all_cause_deaths_council_area[[#This Row],[Orkney Islands]]</f>
        <v>1</v>
      </c>
      <c r="P13" s="60">
        <f>weekly_all_cause_deaths_council_area[[#This Row],[Shetland Islands]]</f>
        <v>4</v>
      </c>
      <c r="Q13" s="60">
        <f>weekly_all_cause_deaths_council_area[[#This Row],[Angus]]+weekly_all_cause_deaths_council_area[[#This Row],[Dundee City]]+weekly_all_cause_deaths_council_area[[#This Row],[Perth and Kinross]]</f>
        <v>98</v>
      </c>
      <c r="R13" s="60">
        <f>weekly_all_cause_deaths_council_area[[#This Row],[Na h-Eileanan Siar]]</f>
        <v>8</v>
      </c>
    </row>
    <row r="14" spans="1:18" ht="16.149999999999999" customHeight="1" x14ac:dyDescent="0.35">
      <c r="A14" s="14" t="s">
        <v>85</v>
      </c>
      <c r="B14" s="15">
        <v>9</v>
      </c>
      <c r="C14" s="16">
        <v>43885</v>
      </c>
      <c r="D14" s="3">
        <f>SUM(weekly_all_cause_deaths_health_board[[#This Row],[Ayrshire and Arran]:[Western Isles]])</f>
        <v>1171</v>
      </c>
      <c r="E14" s="2">
        <f>weekly_all_cause_deaths_council_area[[#This Row],[East Ayrshire]]+weekly_all_cause_deaths_council_area[[#This Row],[North Ayrshire]]+weekly_all_cause_deaths_council_area[[#This Row],[South Ayrshire]]</f>
        <v>99</v>
      </c>
      <c r="F14" s="2">
        <f>weekly_all_cause_deaths_council_area[[#This Row],[Scottish Borders ]]</f>
        <v>35</v>
      </c>
      <c r="G14" s="2">
        <f>weekly_all_cause_deaths_council_area[[#This Row],[Dumfries and Galloway]]</f>
        <v>37</v>
      </c>
      <c r="H14" s="2">
        <f>weekly_all_cause_deaths_council_area[[#This Row],[Fife]]</f>
        <v>79</v>
      </c>
      <c r="I14" s="2">
        <f>weekly_all_cause_deaths_council_area[[#This Row],[Clackmannanshire]]+weekly_all_cause_deaths_council_area[[#This Row],[Falkirk]]+weekly_all_cause_deaths_council_area[[#This Row],[Stirling]]</f>
        <v>57</v>
      </c>
      <c r="J14" s="2">
        <f>weekly_all_cause_deaths_council_area[[#This Row],[Aberdeen City]]+weekly_all_cause_deaths_council_area[[#This Row],[Aberdeenshire]]+weekly_all_cause_deaths_council_area[[#This Row],[Moray]]</f>
        <v>111</v>
      </c>
      <c r="K14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255</v>
      </c>
      <c r="L14" s="2">
        <f>weekly_all_cause_deaths_council_area[[#This Row],[Argyll and Bute]]+weekly_all_cause_deaths_council_area[[#This Row],[Highland]]</f>
        <v>78</v>
      </c>
      <c r="M14" s="52">
        <f>weekly_all_cause_deaths_council_area[[#This Row],[North Lanarkshire]]+weekly_all_cause_deaths_council_area[[#This Row],[South Lanarkshire]]</f>
        <v>136</v>
      </c>
      <c r="N14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171</v>
      </c>
      <c r="O14" s="60">
        <f>weekly_all_cause_deaths_council_area[[#This Row],[Orkney Islands]]</f>
        <v>4</v>
      </c>
      <c r="P14" s="60">
        <f>weekly_all_cause_deaths_council_area[[#This Row],[Shetland Islands]]</f>
        <v>3</v>
      </c>
      <c r="Q14" s="60">
        <f>weekly_all_cause_deaths_council_area[[#This Row],[Angus]]+weekly_all_cause_deaths_council_area[[#This Row],[Dundee City]]+weekly_all_cause_deaths_council_area[[#This Row],[Perth and Kinross]]</f>
        <v>96</v>
      </c>
      <c r="R14" s="60">
        <f>weekly_all_cause_deaths_council_area[[#This Row],[Na h-Eileanan Siar]]</f>
        <v>10</v>
      </c>
    </row>
    <row r="15" spans="1:18" ht="16.149999999999999" customHeight="1" x14ac:dyDescent="0.35">
      <c r="A15" s="14" t="s">
        <v>85</v>
      </c>
      <c r="B15" s="15">
        <v>10</v>
      </c>
      <c r="C15" s="16">
        <v>43892</v>
      </c>
      <c r="D15" s="3">
        <f>SUM(weekly_all_cause_deaths_health_board[[#This Row],[Ayrshire and Arran]:[Western Isles]])</f>
        <v>1208</v>
      </c>
      <c r="E15" s="2">
        <f>weekly_all_cause_deaths_council_area[[#This Row],[East Ayrshire]]+weekly_all_cause_deaths_council_area[[#This Row],[North Ayrshire]]+weekly_all_cause_deaths_council_area[[#This Row],[South Ayrshire]]</f>
        <v>105</v>
      </c>
      <c r="F15" s="2">
        <f>weekly_all_cause_deaths_council_area[[#This Row],[Scottish Borders ]]</f>
        <v>32</v>
      </c>
      <c r="G15" s="2">
        <f>weekly_all_cause_deaths_council_area[[#This Row],[Dumfries and Galloway]]</f>
        <v>40</v>
      </c>
      <c r="H15" s="2">
        <f>weekly_all_cause_deaths_council_area[[#This Row],[Fife]]</f>
        <v>79</v>
      </c>
      <c r="I15" s="2">
        <f>weekly_all_cause_deaths_council_area[[#This Row],[Clackmannanshire]]+weekly_all_cause_deaths_council_area[[#This Row],[Falkirk]]+weekly_all_cause_deaths_council_area[[#This Row],[Stirling]]</f>
        <v>75</v>
      </c>
      <c r="J15" s="2">
        <f>weekly_all_cause_deaths_council_area[[#This Row],[Aberdeen City]]+weekly_all_cause_deaths_council_area[[#This Row],[Aberdeenshire]]+weekly_all_cause_deaths_council_area[[#This Row],[Moray]]</f>
        <v>106</v>
      </c>
      <c r="K15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283</v>
      </c>
      <c r="L15" s="2">
        <f>weekly_all_cause_deaths_council_area[[#This Row],[Argyll and Bute]]+weekly_all_cause_deaths_council_area[[#This Row],[Highland]]</f>
        <v>70</v>
      </c>
      <c r="M15" s="52">
        <f>weekly_all_cause_deaths_council_area[[#This Row],[North Lanarkshire]]+weekly_all_cause_deaths_council_area[[#This Row],[South Lanarkshire]]</f>
        <v>151</v>
      </c>
      <c r="N15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166</v>
      </c>
      <c r="O15" s="60">
        <f>weekly_all_cause_deaths_council_area[[#This Row],[Orkney Islands]]</f>
        <v>5</v>
      </c>
      <c r="P15" s="60">
        <f>weekly_all_cause_deaths_council_area[[#This Row],[Shetland Islands]]</f>
        <v>4</v>
      </c>
      <c r="Q15" s="60">
        <f>weekly_all_cause_deaths_council_area[[#This Row],[Angus]]+weekly_all_cause_deaths_council_area[[#This Row],[Dundee City]]+weekly_all_cause_deaths_council_area[[#This Row],[Perth and Kinross]]</f>
        <v>86</v>
      </c>
      <c r="R15" s="60">
        <f>weekly_all_cause_deaths_council_area[[#This Row],[Na h-Eileanan Siar]]</f>
        <v>6</v>
      </c>
    </row>
    <row r="16" spans="1:18" ht="16.149999999999999" customHeight="1" x14ac:dyDescent="0.35">
      <c r="A16" s="14" t="s">
        <v>85</v>
      </c>
      <c r="B16" s="15">
        <v>11</v>
      </c>
      <c r="C16" s="16">
        <v>43899</v>
      </c>
      <c r="D16" s="3">
        <f>SUM(weekly_all_cause_deaths_health_board[[#This Row],[Ayrshire and Arran]:[Western Isles]])</f>
        <v>1198</v>
      </c>
      <c r="E16" s="2">
        <f>weekly_all_cause_deaths_council_area[[#This Row],[East Ayrshire]]+weekly_all_cause_deaths_council_area[[#This Row],[North Ayrshire]]+weekly_all_cause_deaths_council_area[[#This Row],[South Ayrshire]]</f>
        <v>109</v>
      </c>
      <c r="F16" s="2">
        <f>weekly_all_cause_deaths_council_area[[#This Row],[Scottish Borders ]]</f>
        <v>29</v>
      </c>
      <c r="G16" s="2">
        <f>weekly_all_cause_deaths_council_area[[#This Row],[Dumfries and Galloway]]</f>
        <v>36</v>
      </c>
      <c r="H16" s="2">
        <f>weekly_all_cause_deaths_council_area[[#This Row],[Fife]]</f>
        <v>80</v>
      </c>
      <c r="I16" s="25">
        <f>weekly_all_cause_deaths_council_area[[#This Row],[Clackmannanshire]]+weekly_all_cause_deaths_council_area[[#This Row],[Falkirk]]+weekly_all_cause_deaths_council_area[[#This Row],[Stirling]]</f>
        <v>55</v>
      </c>
      <c r="J16" s="25">
        <f>weekly_all_cause_deaths_council_area[[#This Row],[Aberdeen City]]+weekly_all_cause_deaths_council_area[[#This Row],[Aberdeenshire]]+weekly_all_cause_deaths_council_area[[#This Row],[Moray]]</f>
        <v>128</v>
      </c>
      <c r="K16" s="25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244</v>
      </c>
      <c r="L16" s="25">
        <f>weekly_all_cause_deaths_council_area[[#This Row],[Argyll and Bute]]+weekly_all_cause_deaths_council_area[[#This Row],[Highland]]</f>
        <v>78</v>
      </c>
      <c r="M16" s="52">
        <f>weekly_all_cause_deaths_council_area[[#This Row],[North Lanarkshire]]+weekly_all_cause_deaths_council_area[[#This Row],[South Lanarkshire]]</f>
        <v>143</v>
      </c>
      <c r="N16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182</v>
      </c>
      <c r="O16" s="60">
        <f>weekly_all_cause_deaths_council_area[[#This Row],[Orkney Islands]]</f>
        <v>6</v>
      </c>
      <c r="P16" s="60">
        <f>weekly_all_cause_deaths_council_area[[#This Row],[Shetland Islands]]</f>
        <v>3</v>
      </c>
      <c r="Q16" s="60">
        <f>weekly_all_cause_deaths_council_area[[#This Row],[Angus]]+weekly_all_cause_deaths_council_area[[#This Row],[Dundee City]]+weekly_all_cause_deaths_council_area[[#This Row],[Perth and Kinross]]</f>
        <v>94</v>
      </c>
      <c r="R16" s="60">
        <f>weekly_all_cause_deaths_council_area[[#This Row],[Na h-Eileanan Siar]]</f>
        <v>11</v>
      </c>
    </row>
    <row r="17" spans="1:18" ht="16.149999999999999" customHeight="1" x14ac:dyDescent="0.35">
      <c r="A17" s="14" t="s">
        <v>85</v>
      </c>
      <c r="B17" s="15">
        <v>12</v>
      </c>
      <c r="C17" s="16">
        <v>43906</v>
      </c>
      <c r="D17" s="3">
        <f>SUM(weekly_all_cause_deaths_health_board[[#This Row],[Ayrshire and Arran]:[Western Isles]])</f>
        <v>1196</v>
      </c>
      <c r="E17" s="2">
        <f>weekly_all_cause_deaths_council_area[[#This Row],[East Ayrshire]]+weekly_all_cause_deaths_council_area[[#This Row],[North Ayrshire]]+weekly_all_cause_deaths_council_area[[#This Row],[South Ayrshire]]</f>
        <v>101</v>
      </c>
      <c r="F17" s="2">
        <f>weekly_all_cause_deaths_council_area[[#This Row],[Scottish Borders ]]</f>
        <v>36</v>
      </c>
      <c r="G17" s="2">
        <f>weekly_all_cause_deaths_council_area[[#This Row],[Dumfries and Galloway]]</f>
        <v>41</v>
      </c>
      <c r="H17" s="2">
        <f>weekly_all_cause_deaths_council_area[[#This Row],[Fife]]</f>
        <v>70</v>
      </c>
      <c r="I17" s="25">
        <f>weekly_all_cause_deaths_council_area[[#This Row],[Clackmannanshire]]+weekly_all_cause_deaths_council_area[[#This Row],[Falkirk]]+weekly_all_cause_deaths_council_area[[#This Row],[Stirling]]</f>
        <v>66</v>
      </c>
      <c r="J17" s="25">
        <f>weekly_all_cause_deaths_council_area[[#This Row],[Aberdeen City]]+weekly_all_cause_deaths_council_area[[#This Row],[Aberdeenshire]]+weekly_all_cause_deaths_council_area[[#This Row],[Moray]]</f>
        <v>132</v>
      </c>
      <c r="K17" s="25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264</v>
      </c>
      <c r="L17" s="25">
        <f>weekly_all_cause_deaths_council_area[[#This Row],[Argyll and Bute]]+weekly_all_cause_deaths_council_area[[#This Row],[Highland]]</f>
        <v>72</v>
      </c>
      <c r="M17" s="52">
        <f>weekly_all_cause_deaths_council_area[[#This Row],[North Lanarkshire]]+weekly_all_cause_deaths_council_area[[#This Row],[South Lanarkshire]]</f>
        <v>138</v>
      </c>
      <c r="N1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169</v>
      </c>
      <c r="O17" s="60">
        <f>weekly_all_cause_deaths_council_area[[#This Row],[Orkney Islands]]</f>
        <v>7</v>
      </c>
      <c r="P17" s="60">
        <f>weekly_all_cause_deaths_council_area[[#This Row],[Shetland Islands]]</f>
        <v>3</v>
      </c>
      <c r="Q17" s="60">
        <f>weekly_all_cause_deaths_council_area[[#This Row],[Angus]]+weekly_all_cause_deaths_council_area[[#This Row],[Dundee City]]+weekly_all_cause_deaths_council_area[[#This Row],[Perth and Kinross]]</f>
        <v>92</v>
      </c>
      <c r="R17" s="60">
        <f>weekly_all_cause_deaths_council_area[[#This Row],[Na h-Eileanan Siar]]</f>
        <v>5</v>
      </c>
    </row>
    <row r="18" spans="1:18" ht="16.149999999999999" customHeight="1" x14ac:dyDescent="0.35">
      <c r="A18" s="14" t="s">
        <v>85</v>
      </c>
      <c r="B18" s="15">
        <v>13</v>
      </c>
      <c r="C18" s="16">
        <v>43913</v>
      </c>
      <c r="D18" s="3">
        <f>SUM(weekly_all_cause_deaths_health_board[[#This Row],[Ayrshire and Arran]:[Western Isles]])</f>
        <v>1079</v>
      </c>
      <c r="E18" s="2">
        <f>weekly_all_cause_deaths_council_area[[#This Row],[East Ayrshire]]+weekly_all_cause_deaths_council_area[[#This Row],[North Ayrshire]]+weekly_all_cause_deaths_council_area[[#This Row],[South Ayrshire]]</f>
        <v>108</v>
      </c>
      <c r="F18" s="2">
        <f>weekly_all_cause_deaths_council_area[[#This Row],[Scottish Borders ]]</f>
        <v>23</v>
      </c>
      <c r="G18" s="2">
        <f>weekly_all_cause_deaths_council_area[[#This Row],[Dumfries and Galloway]]</f>
        <v>28</v>
      </c>
      <c r="H18" s="2">
        <f>weekly_all_cause_deaths_council_area[[#This Row],[Fife]]</f>
        <v>98</v>
      </c>
      <c r="I18" s="2">
        <f>weekly_all_cause_deaths_council_area[[#This Row],[Clackmannanshire]]+weekly_all_cause_deaths_council_area[[#This Row],[Falkirk]]+weekly_all_cause_deaths_council_area[[#This Row],[Stirling]]</f>
        <v>74</v>
      </c>
      <c r="J18" s="2">
        <f>weekly_all_cause_deaths_council_area[[#This Row],[Aberdeen City]]+weekly_all_cause_deaths_council_area[[#This Row],[Aberdeenshire]]+weekly_all_cause_deaths_council_area[[#This Row],[Moray]]</f>
        <v>112</v>
      </c>
      <c r="K18" s="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167</v>
      </c>
      <c r="L18" s="2">
        <f>weekly_all_cause_deaths_council_area[[#This Row],[Argyll and Bute]]+weekly_all_cause_deaths_council_area[[#This Row],[Highland]]</f>
        <v>70</v>
      </c>
      <c r="M18" s="52">
        <f>weekly_all_cause_deaths_council_area[[#This Row],[North Lanarkshire]]+weekly_all_cause_deaths_council_area[[#This Row],[South Lanarkshire]]</f>
        <v>137</v>
      </c>
      <c r="N1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144</v>
      </c>
      <c r="O18" s="60">
        <f>weekly_all_cause_deaths_council_area[[#This Row],[Orkney Islands]]</f>
        <v>8</v>
      </c>
      <c r="P18" s="60">
        <f>weekly_all_cause_deaths_council_area[[#This Row],[Shetland Islands]]</f>
        <v>9</v>
      </c>
      <c r="Q18" s="60">
        <f>weekly_all_cause_deaths_council_area[[#This Row],[Angus]]+weekly_all_cause_deaths_council_area[[#This Row],[Dundee City]]+weekly_all_cause_deaths_council_area[[#This Row],[Perth and Kinross]]</f>
        <v>96</v>
      </c>
      <c r="R18" s="60">
        <f>weekly_all_cause_deaths_council_area[[#This Row],[Na h-Eileanan Siar]]</f>
        <v>5</v>
      </c>
    </row>
    <row r="19" spans="1:18" ht="16.149999999999999" customHeight="1" x14ac:dyDescent="0.35">
      <c r="A19" s="14" t="s">
        <v>85</v>
      </c>
      <c r="B19" s="15">
        <v>14</v>
      </c>
      <c r="C19" s="16">
        <v>43920</v>
      </c>
      <c r="D19" s="3">
        <f>SUM(weekly_all_cause_deaths_health_board[[#This Row],[Ayrshire and Arran]:[Western Isles]])</f>
        <v>1744</v>
      </c>
      <c r="E19" s="25">
        <f>weekly_all_cause_deaths_council_area[[#This Row],[East Ayrshire]]+weekly_all_cause_deaths_council_area[[#This Row],[North Ayrshire]]+weekly_all_cause_deaths_council_area[[#This Row],[South Ayrshire]]</f>
        <v>121</v>
      </c>
      <c r="F19" s="25">
        <f>weekly_all_cause_deaths_council_area[[#This Row],[Scottish Borders ]]</f>
        <v>42</v>
      </c>
      <c r="G19" s="25">
        <f>weekly_all_cause_deaths_council_area[[#This Row],[Dumfries and Galloway]]</f>
        <v>73</v>
      </c>
      <c r="H19" s="25">
        <f>weekly_all_cause_deaths_council_area[[#This Row],[Fife]]</f>
        <v>82</v>
      </c>
      <c r="I19" s="25">
        <f>weekly_all_cause_deaths_council_area[[#This Row],[Clackmannanshire]]+weekly_all_cause_deaths_council_area[[#This Row],[Falkirk]]+weekly_all_cause_deaths_council_area[[#This Row],[Stirling]]</f>
        <v>96</v>
      </c>
      <c r="J19" s="25">
        <f>weekly_all_cause_deaths_council_area[[#This Row],[Aberdeen City]]+weekly_all_cause_deaths_council_area[[#This Row],[Aberdeenshire]]+weekly_all_cause_deaths_council_area[[#This Row],[Moray]]</f>
        <v>141</v>
      </c>
      <c r="K19" s="25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479</v>
      </c>
      <c r="L19" s="25">
        <f>weekly_all_cause_deaths_council_area[[#This Row],[Argyll and Bute]]+weekly_all_cause_deaths_council_area[[#This Row],[Highland]]</f>
        <v>102</v>
      </c>
      <c r="M19" s="52">
        <f>weekly_all_cause_deaths_council_area[[#This Row],[North Lanarkshire]]+weekly_all_cause_deaths_council_area[[#This Row],[South Lanarkshire]]</f>
        <v>231</v>
      </c>
      <c r="N19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228</v>
      </c>
      <c r="O19" s="60">
        <f>weekly_all_cause_deaths_council_area[[#This Row],[Orkney Islands]]</f>
        <v>9</v>
      </c>
      <c r="P19" s="60">
        <f>weekly_all_cause_deaths_council_area[[#This Row],[Shetland Islands]]</f>
        <v>8</v>
      </c>
      <c r="Q19" s="60">
        <f>weekly_all_cause_deaths_council_area[[#This Row],[Angus]]+weekly_all_cause_deaths_council_area[[#This Row],[Dundee City]]+weekly_all_cause_deaths_council_area[[#This Row],[Perth and Kinross]]</f>
        <v>126</v>
      </c>
      <c r="R19" s="60">
        <f>weekly_all_cause_deaths_council_area[[#This Row],[Na h-Eileanan Siar]]</f>
        <v>6</v>
      </c>
    </row>
    <row r="20" spans="1:18" ht="16.149999999999999" customHeight="1" x14ac:dyDescent="0.35">
      <c r="A20" s="14" t="s">
        <v>85</v>
      </c>
      <c r="B20" s="15">
        <v>15</v>
      </c>
      <c r="C20" s="16">
        <v>43927</v>
      </c>
      <c r="D20" s="3">
        <f>SUM(weekly_all_cause_deaths_health_board[[#This Row],[Ayrshire and Arran]:[Western Isles]])</f>
        <v>1978</v>
      </c>
      <c r="E20" s="19">
        <f>weekly_all_cause_deaths_council_area[[#This Row],[East Ayrshire]]+weekly_all_cause_deaths_council_area[[#This Row],[North Ayrshire]]+weekly_all_cause_deaths_council_area[[#This Row],[South Ayrshire]]</f>
        <v>131</v>
      </c>
      <c r="F20" s="19">
        <f>weekly_all_cause_deaths_council_area[[#This Row],[Scottish Borders ]]</f>
        <v>37</v>
      </c>
      <c r="G20" s="19">
        <f>weekly_all_cause_deaths_council_area[[#This Row],[Dumfries and Galloway]]</f>
        <v>53</v>
      </c>
      <c r="H20" s="19">
        <f>weekly_all_cause_deaths_council_area[[#This Row],[Fife]]</f>
        <v>109</v>
      </c>
      <c r="I20" s="19">
        <f>weekly_all_cause_deaths_council_area[[#This Row],[Clackmannanshire]]+weekly_all_cause_deaths_council_area[[#This Row],[Falkirk]]+weekly_all_cause_deaths_council_area[[#This Row],[Stirling]]</f>
        <v>110</v>
      </c>
      <c r="J20" s="19">
        <f>weekly_all_cause_deaths_council_area[[#This Row],[Aberdeen City]]+weekly_all_cause_deaths_council_area[[#This Row],[Aberdeenshire]]+weekly_all_cause_deaths_council_area[[#This Row],[Moray]]</f>
        <v>158</v>
      </c>
      <c r="K20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499</v>
      </c>
      <c r="L20" s="19">
        <f>weekly_all_cause_deaths_council_area[[#This Row],[Argyll and Bute]]+weekly_all_cause_deaths_council_area[[#This Row],[Highland]]</f>
        <v>100</v>
      </c>
      <c r="M20" s="52">
        <f>weekly_all_cause_deaths_council_area[[#This Row],[North Lanarkshire]]+weekly_all_cause_deaths_council_area[[#This Row],[South Lanarkshire]]</f>
        <v>274</v>
      </c>
      <c r="N20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313</v>
      </c>
      <c r="O20" s="60">
        <f>weekly_all_cause_deaths_council_area[[#This Row],[Orkney Islands]]</f>
        <v>11</v>
      </c>
      <c r="P20" s="60">
        <f>weekly_all_cause_deaths_council_area[[#This Row],[Shetland Islands]]</f>
        <v>8</v>
      </c>
      <c r="Q20" s="60">
        <f>weekly_all_cause_deaths_council_area[[#This Row],[Angus]]+weekly_all_cause_deaths_council_area[[#This Row],[Dundee City]]+weekly_all_cause_deaths_council_area[[#This Row],[Perth and Kinross]]</f>
        <v>167</v>
      </c>
      <c r="R20" s="60">
        <f>weekly_all_cause_deaths_council_area[[#This Row],[Na h-Eileanan Siar]]</f>
        <v>8</v>
      </c>
    </row>
    <row r="21" spans="1:18" ht="16.149999999999999" customHeight="1" x14ac:dyDescent="0.35">
      <c r="A21" s="14" t="s">
        <v>85</v>
      </c>
      <c r="B21" s="15">
        <v>16</v>
      </c>
      <c r="C21" s="16">
        <v>43934</v>
      </c>
      <c r="D21" s="3">
        <f>SUM(weekly_all_cause_deaths_health_board[[#This Row],[Ayrshire and Arran]:[Western Isles]])</f>
        <v>1916</v>
      </c>
      <c r="E21" s="19">
        <f>weekly_all_cause_deaths_council_area[[#This Row],[East Ayrshire]]+weekly_all_cause_deaths_council_area[[#This Row],[North Ayrshire]]+weekly_all_cause_deaths_council_area[[#This Row],[South Ayrshire]]</f>
        <v>158</v>
      </c>
      <c r="F21" s="19">
        <f>weekly_all_cause_deaths_council_area[[#This Row],[Scottish Borders ]]</f>
        <v>31</v>
      </c>
      <c r="G21" s="19">
        <f>weekly_all_cause_deaths_council_area[[#This Row],[Dumfries and Galloway]]</f>
        <v>42</v>
      </c>
      <c r="H21" s="19">
        <f>weekly_all_cause_deaths_council_area[[#This Row],[Fife]]</f>
        <v>113</v>
      </c>
      <c r="I21" s="19">
        <f>weekly_all_cause_deaths_council_area[[#This Row],[Clackmannanshire]]+weekly_all_cause_deaths_council_area[[#This Row],[Falkirk]]+weekly_all_cause_deaths_council_area[[#This Row],[Stirling]]</f>
        <v>85</v>
      </c>
      <c r="J21" s="19">
        <f>weekly_all_cause_deaths_council_area[[#This Row],[Aberdeen City]]+weekly_all_cause_deaths_council_area[[#This Row],[Aberdeenshire]]+weekly_all_cause_deaths_council_area[[#This Row],[Moray]]</f>
        <v>169</v>
      </c>
      <c r="K21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482</v>
      </c>
      <c r="L21" s="19">
        <f>weekly_all_cause_deaths_council_area[[#This Row],[Argyll and Bute]]+weekly_all_cause_deaths_council_area[[#This Row],[Highland]]</f>
        <v>107</v>
      </c>
      <c r="M21" s="52">
        <f>weekly_all_cause_deaths_council_area[[#This Row],[North Lanarkshire]]+weekly_all_cause_deaths_council_area[[#This Row],[South Lanarkshire]]</f>
        <v>272</v>
      </c>
      <c r="N21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271</v>
      </c>
      <c r="O21" s="60">
        <f>weekly_all_cause_deaths_council_area[[#This Row],[Orkney Islands]]</f>
        <v>4</v>
      </c>
      <c r="P21" s="60">
        <f>weekly_all_cause_deaths_council_area[[#This Row],[Shetland Islands]]</f>
        <v>3</v>
      </c>
      <c r="Q21" s="60">
        <f>weekly_all_cause_deaths_council_area[[#This Row],[Angus]]+weekly_all_cause_deaths_council_area[[#This Row],[Dundee City]]+weekly_all_cause_deaths_council_area[[#This Row],[Perth and Kinross]]</f>
        <v>171</v>
      </c>
      <c r="R21" s="60">
        <f>weekly_all_cause_deaths_council_area[[#This Row],[Na h-Eileanan Siar]]</f>
        <v>8</v>
      </c>
    </row>
    <row r="22" spans="1:18" ht="16.149999999999999" customHeight="1" x14ac:dyDescent="0.35">
      <c r="A22" s="14" t="s">
        <v>85</v>
      </c>
      <c r="B22" s="15">
        <v>17</v>
      </c>
      <c r="C22" s="16">
        <v>43941</v>
      </c>
      <c r="D22" s="3">
        <f>SUM(weekly_all_cause_deaths_health_board[[#This Row],[Ayrshire and Arran]:[Western Isles]])</f>
        <v>1836</v>
      </c>
      <c r="E22" s="19">
        <f>weekly_all_cause_deaths_council_area[[#This Row],[East Ayrshire]]+weekly_all_cause_deaths_council_area[[#This Row],[North Ayrshire]]+weekly_all_cause_deaths_council_area[[#This Row],[South Ayrshire]]</f>
        <v>139</v>
      </c>
      <c r="F22" s="19">
        <f>weekly_all_cause_deaths_council_area[[#This Row],[Scottish Borders ]]</f>
        <v>30</v>
      </c>
      <c r="G22" s="19">
        <f>weekly_all_cause_deaths_council_area[[#This Row],[Dumfries and Galloway]]</f>
        <v>43</v>
      </c>
      <c r="H22" s="19">
        <f>weekly_all_cause_deaths_council_area[[#This Row],[Fife]]</f>
        <v>102</v>
      </c>
      <c r="I22" s="19">
        <f>weekly_all_cause_deaths_council_area[[#This Row],[Clackmannanshire]]+weekly_all_cause_deaths_council_area[[#This Row],[Falkirk]]+weekly_all_cause_deaths_council_area[[#This Row],[Stirling]]</f>
        <v>97</v>
      </c>
      <c r="J22" s="19">
        <f>weekly_all_cause_deaths_council_area[[#This Row],[Aberdeen City]]+weekly_all_cause_deaths_council_area[[#This Row],[Aberdeenshire]]+weekly_all_cause_deaths_council_area[[#This Row],[Moray]]</f>
        <v>147</v>
      </c>
      <c r="K22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518</v>
      </c>
      <c r="L22" s="19">
        <f>weekly_all_cause_deaths_council_area[[#This Row],[Argyll and Bute]]+weekly_all_cause_deaths_council_area[[#This Row],[Highland]]</f>
        <v>94</v>
      </c>
      <c r="M22" s="52">
        <f>weekly_all_cause_deaths_council_area[[#This Row],[North Lanarkshire]]+weekly_all_cause_deaths_council_area[[#This Row],[South Lanarkshire]]</f>
        <v>238</v>
      </c>
      <c r="N22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258</v>
      </c>
      <c r="O22" s="60">
        <f>weekly_all_cause_deaths_council_area[[#This Row],[Orkney Islands]]</f>
        <v>6</v>
      </c>
      <c r="P22" s="60">
        <f>weekly_all_cause_deaths_council_area[[#This Row],[Shetland Islands]]</f>
        <v>2</v>
      </c>
      <c r="Q22" s="60">
        <f>weekly_all_cause_deaths_council_area[[#This Row],[Angus]]+weekly_all_cause_deaths_council_area[[#This Row],[Dundee City]]+weekly_all_cause_deaths_council_area[[#This Row],[Perth and Kinross]]</f>
        <v>152</v>
      </c>
      <c r="R22" s="60">
        <f>weekly_all_cause_deaths_council_area[[#This Row],[Na h-Eileanan Siar]]</f>
        <v>10</v>
      </c>
    </row>
    <row r="23" spans="1:18" ht="16.149999999999999" customHeight="1" x14ac:dyDescent="0.35">
      <c r="A23" s="14" t="s">
        <v>85</v>
      </c>
      <c r="B23" s="15">
        <v>18</v>
      </c>
      <c r="C23" s="16">
        <v>43948</v>
      </c>
      <c r="D23" s="20">
        <f>SUM(weekly_all_cause_deaths_health_board[[#This Row],[Ayrshire and Arran]:[Western Isles]])</f>
        <v>1678</v>
      </c>
      <c r="E23" s="19">
        <f>weekly_all_cause_deaths_council_area[[#This Row],[East Ayrshire]]+weekly_all_cause_deaths_council_area[[#This Row],[North Ayrshire]]+weekly_all_cause_deaths_council_area[[#This Row],[South Ayrshire]]</f>
        <v>122</v>
      </c>
      <c r="F23" s="19">
        <f>weekly_all_cause_deaths_council_area[[#This Row],[Scottish Borders ]]</f>
        <v>27</v>
      </c>
      <c r="G23" s="19">
        <f>weekly_all_cause_deaths_council_area[[#This Row],[Dumfries and Galloway]]</f>
        <v>45</v>
      </c>
      <c r="H23" s="19">
        <f>weekly_all_cause_deaths_council_area[[#This Row],[Fife]]</f>
        <v>110</v>
      </c>
      <c r="I23" s="19">
        <f>weekly_all_cause_deaths_council_area[[#This Row],[Clackmannanshire]]+weekly_all_cause_deaths_council_area[[#This Row],[Falkirk]]+weekly_all_cause_deaths_council_area[[#This Row],[Stirling]]</f>
        <v>107</v>
      </c>
      <c r="J23" s="19">
        <f>weekly_all_cause_deaths_council_area[[#This Row],[Aberdeen City]]+weekly_all_cause_deaths_council_area[[#This Row],[Aberdeenshire]]+weekly_all_cause_deaths_council_area[[#This Row],[Moray]]</f>
        <v>139</v>
      </c>
      <c r="K23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409</v>
      </c>
      <c r="L23" s="19">
        <f>weekly_all_cause_deaths_council_area[[#This Row],[Argyll and Bute]]+weekly_all_cause_deaths_council_area[[#This Row],[Highland]]</f>
        <v>78</v>
      </c>
      <c r="M23" s="52">
        <f>weekly_all_cause_deaths_council_area[[#This Row],[North Lanarkshire]]+weekly_all_cause_deaths_council_area[[#This Row],[South Lanarkshire]]</f>
        <v>207</v>
      </c>
      <c r="N23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280</v>
      </c>
      <c r="O23" s="60">
        <f>weekly_all_cause_deaths_council_area[[#This Row],[Orkney Islands]]</f>
        <v>3</v>
      </c>
      <c r="P23" s="60">
        <f>weekly_all_cause_deaths_council_area[[#This Row],[Shetland Islands]]</f>
        <v>6</v>
      </c>
      <c r="Q23" s="60">
        <f>weekly_all_cause_deaths_council_area[[#This Row],[Angus]]+weekly_all_cause_deaths_council_area[[#This Row],[Dundee City]]+weekly_all_cause_deaths_council_area[[#This Row],[Perth and Kinross]]</f>
        <v>140</v>
      </c>
      <c r="R23" s="60">
        <f>weekly_all_cause_deaths_council_area[[#This Row],[Na h-Eileanan Siar]]</f>
        <v>5</v>
      </c>
    </row>
    <row r="24" spans="1:18" ht="16.149999999999999" customHeight="1" x14ac:dyDescent="0.35">
      <c r="A24" s="14" t="s">
        <v>85</v>
      </c>
      <c r="B24" s="15">
        <v>19</v>
      </c>
      <c r="C24" s="16">
        <v>43955</v>
      </c>
      <c r="D24" s="20">
        <f>SUM(weekly_all_cause_deaths_health_board[[#This Row],[Ayrshire and Arran]:[Western Isles]])</f>
        <v>1435</v>
      </c>
      <c r="E24" s="19">
        <f>weekly_all_cause_deaths_council_area[[#This Row],[East Ayrshire]]+weekly_all_cause_deaths_council_area[[#This Row],[North Ayrshire]]+weekly_all_cause_deaths_council_area[[#This Row],[South Ayrshire]]</f>
        <v>100</v>
      </c>
      <c r="F24" s="19">
        <f>weekly_all_cause_deaths_council_area[[#This Row],[Scottish Borders ]]</f>
        <v>24</v>
      </c>
      <c r="G24" s="19">
        <f>weekly_all_cause_deaths_council_area[[#This Row],[Dumfries and Galloway]]</f>
        <v>35</v>
      </c>
      <c r="H24" s="19">
        <f>weekly_all_cause_deaths_council_area[[#This Row],[Fife]]</f>
        <v>91</v>
      </c>
      <c r="I24" s="19">
        <f>weekly_all_cause_deaths_council_area[[#This Row],[Clackmannanshire]]+weekly_all_cause_deaths_council_area[[#This Row],[Falkirk]]+weekly_all_cause_deaths_council_area[[#This Row],[Stirling]]</f>
        <v>104</v>
      </c>
      <c r="J24" s="19">
        <f>weekly_all_cause_deaths_council_area[[#This Row],[Aberdeen City]]+weekly_all_cause_deaths_council_area[[#This Row],[Aberdeenshire]]+weekly_all_cause_deaths_council_area[[#This Row],[Moray]]</f>
        <v>128</v>
      </c>
      <c r="K24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344</v>
      </c>
      <c r="L24" s="19">
        <f>weekly_all_cause_deaths_council_area[[#This Row],[Argyll and Bute]]+weekly_all_cause_deaths_council_area[[#This Row],[Highland]]</f>
        <v>83</v>
      </c>
      <c r="M24" s="52">
        <f>weekly_all_cause_deaths_council_area[[#This Row],[North Lanarkshire]]+weekly_all_cause_deaths_council_area[[#This Row],[South Lanarkshire]]</f>
        <v>207</v>
      </c>
      <c r="N24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207</v>
      </c>
      <c r="O24" s="60">
        <f>weekly_all_cause_deaths_council_area[[#This Row],[Orkney Islands]]</f>
        <v>2</v>
      </c>
      <c r="P24" s="60">
        <f>weekly_all_cause_deaths_council_area[[#This Row],[Shetland Islands]]</f>
        <v>6</v>
      </c>
      <c r="Q24" s="60">
        <f>weekly_all_cause_deaths_council_area[[#This Row],[Angus]]+weekly_all_cause_deaths_council_area[[#This Row],[Dundee City]]+weekly_all_cause_deaths_council_area[[#This Row],[Perth and Kinross]]</f>
        <v>102</v>
      </c>
      <c r="R24" s="60">
        <f>weekly_all_cause_deaths_council_area[[#This Row],[Na h-Eileanan Siar]]</f>
        <v>2</v>
      </c>
    </row>
    <row r="25" spans="1:18" ht="16.149999999999999" customHeight="1" x14ac:dyDescent="0.35">
      <c r="A25" s="14" t="s">
        <v>85</v>
      </c>
      <c r="B25" s="15">
        <v>20</v>
      </c>
      <c r="C25" s="16">
        <v>43962</v>
      </c>
      <c r="D25" s="20">
        <f>SUM(weekly_all_cause_deaths_health_board[[#This Row],[Ayrshire and Arran]:[Western Isles]])</f>
        <v>1421</v>
      </c>
      <c r="E25" s="19">
        <f>weekly_all_cause_deaths_council_area[[#This Row],[East Ayrshire]]+weekly_all_cause_deaths_council_area[[#This Row],[North Ayrshire]]+weekly_all_cause_deaths_council_area[[#This Row],[South Ayrshire]]</f>
        <v>120</v>
      </c>
      <c r="F25" s="19">
        <f>weekly_all_cause_deaths_council_area[[#This Row],[Scottish Borders ]]</f>
        <v>28</v>
      </c>
      <c r="G25" s="19">
        <f>weekly_all_cause_deaths_council_area[[#This Row],[Dumfries and Galloway]]</f>
        <v>39</v>
      </c>
      <c r="H25" s="19">
        <f>weekly_all_cause_deaths_council_area[[#This Row],[Fife]]</f>
        <v>81</v>
      </c>
      <c r="I25" s="19">
        <f>weekly_all_cause_deaths_council_area[[#This Row],[Clackmannanshire]]+weekly_all_cause_deaths_council_area[[#This Row],[Falkirk]]+weekly_all_cause_deaths_council_area[[#This Row],[Stirling]]</f>
        <v>85</v>
      </c>
      <c r="J25" s="19">
        <f>weekly_all_cause_deaths_council_area[[#This Row],[Aberdeen City]]+weekly_all_cause_deaths_council_area[[#This Row],[Aberdeenshire]]+weekly_all_cause_deaths_council_area[[#This Row],[Moray]]</f>
        <v>110</v>
      </c>
      <c r="K25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342</v>
      </c>
      <c r="L25" s="19">
        <f>weekly_all_cause_deaths_council_area[[#This Row],[Argyll and Bute]]+weekly_all_cause_deaths_council_area[[#This Row],[Highland]]</f>
        <v>83</v>
      </c>
      <c r="M25" s="52">
        <f>weekly_all_cause_deaths_council_area[[#This Row],[North Lanarkshire]]+weekly_all_cause_deaths_council_area[[#This Row],[South Lanarkshire]]</f>
        <v>168</v>
      </c>
      <c r="N25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224</v>
      </c>
      <c r="O25" s="60">
        <f>weekly_all_cause_deaths_council_area[[#This Row],[Orkney Islands]]</f>
        <v>5</v>
      </c>
      <c r="P25" s="60">
        <f>weekly_all_cause_deaths_council_area[[#This Row],[Shetland Islands]]</f>
        <v>6</v>
      </c>
      <c r="Q25" s="60">
        <f>weekly_all_cause_deaths_council_area[[#This Row],[Angus]]+weekly_all_cause_deaths_council_area[[#This Row],[Dundee City]]+weekly_all_cause_deaths_council_area[[#This Row],[Perth and Kinross]]</f>
        <v>126</v>
      </c>
      <c r="R25" s="60">
        <f>weekly_all_cause_deaths_council_area[[#This Row],[Na h-Eileanan Siar]]</f>
        <v>4</v>
      </c>
    </row>
    <row r="26" spans="1:18" ht="16.149999999999999" customHeight="1" x14ac:dyDescent="0.35">
      <c r="A26" s="14" t="s">
        <v>85</v>
      </c>
      <c r="B26" s="15">
        <v>21</v>
      </c>
      <c r="C26" s="16">
        <v>43969</v>
      </c>
      <c r="D26" s="20">
        <f>SUM(weekly_all_cause_deaths_health_board[[#This Row],[Ayrshire and Arran]:[Western Isles]])</f>
        <v>1226</v>
      </c>
      <c r="E26" s="19">
        <f>weekly_all_cause_deaths_council_area[[#This Row],[East Ayrshire]]+weekly_all_cause_deaths_council_area[[#This Row],[North Ayrshire]]+weekly_all_cause_deaths_council_area[[#This Row],[South Ayrshire]]</f>
        <v>99</v>
      </c>
      <c r="F26" s="19">
        <f>weekly_all_cause_deaths_council_area[[#This Row],[Scottish Borders ]]</f>
        <v>32</v>
      </c>
      <c r="G26" s="19">
        <f>weekly_all_cause_deaths_council_area[[#This Row],[Dumfries and Galloway]]</f>
        <v>31</v>
      </c>
      <c r="H26" s="19">
        <f>weekly_all_cause_deaths_council_area[[#This Row],[Fife]]</f>
        <v>67</v>
      </c>
      <c r="I26" s="19">
        <f>weekly_all_cause_deaths_council_area[[#This Row],[Clackmannanshire]]+weekly_all_cause_deaths_council_area[[#This Row],[Falkirk]]+weekly_all_cause_deaths_council_area[[#This Row],[Stirling]]</f>
        <v>59</v>
      </c>
      <c r="J26" s="19">
        <f>weekly_all_cause_deaths_council_area[[#This Row],[Aberdeen City]]+weekly_all_cause_deaths_council_area[[#This Row],[Aberdeenshire]]+weekly_all_cause_deaths_council_area[[#This Row],[Moray]]</f>
        <v>97</v>
      </c>
      <c r="K26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308</v>
      </c>
      <c r="L26" s="19">
        <f>weekly_all_cause_deaths_council_area[[#This Row],[Argyll and Bute]]+weekly_all_cause_deaths_council_area[[#This Row],[Highland]]</f>
        <v>73</v>
      </c>
      <c r="M26" s="52">
        <f>weekly_all_cause_deaths_council_area[[#This Row],[North Lanarkshire]]+weekly_all_cause_deaths_council_area[[#This Row],[South Lanarkshire]]</f>
        <v>151</v>
      </c>
      <c r="N26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189</v>
      </c>
      <c r="O26" s="60">
        <f>weekly_all_cause_deaths_council_area[[#This Row],[Orkney Islands]]</f>
        <v>8</v>
      </c>
      <c r="P26" s="60">
        <f>weekly_all_cause_deaths_council_area[[#This Row],[Shetland Islands]]</f>
        <v>2</v>
      </c>
      <c r="Q26" s="60">
        <f>weekly_all_cause_deaths_council_area[[#This Row],[Angus]]+weekly_all_cause_deaths_council_area[[#This Row],[Dundee City]]+weekly_all_cause_deaths_council_area[[#This Row],[Perth and Kinross]]</f>
        <v>105</v>
      </c>
      <c r="R26" s="60">
        <f>weekly_all_cause_deaths_council_area[[#This Row],[Na h-Eileanan Siar]]</f>
        <v>5</v>
      </c>
    </row>
    <row r="27" spans="1:18" ht="16.149999999999999" customHeight="1" x14ac:dyDescent="0.35">
      <c r="A27" s="14" t="s">
        <v>85</v>
      </c>
      <c r="B27" s="15">
        <v>22</v>
      </c>
      <c r="C27" s="16">
        <v>43976</v>
      </c>
      <c r="D27" s="21">
        <f>SUM(weekly_all_cause_deaths_health_board[[#This Row],[Ayrshire and Arran]:[Western Isles]])</f>
        <v>1128</v>
      </c>
      <c r="E27" s="19">
        <f>weekly_all_cause_deaths_council_area[[#This Row],[East Ayrshire]]+weekly_all_cause_deaths_council_area[[#This Row],[North Ayrshire]]+weekly_all_cause_deaths_council_area[[#This Row],[South Ayrshire]]</f>
        <v>88</v>
      </c>
      <c r="F27" s="19">
        <f>weekly_all_cause_deaths_council_area[[#This Row],[Scottish Borders ]]</f>
        <v>18</v>
      </c>
      <c r="G27" s="19">
        <f>weekly_all_cause_deaths_council_area[[#This Row],[Dumfries and Galloway]]</f>
        <v>33</v>
      </c>
      <c r="H27" s="19">
        <f>weekly_all_cause_deaths_council_area[[#This Row],[Fife]]</f>
        <v>90</v>
      </c>
      <c r="I27" s="19">
        <f>weekly_all_cause_deaths_council_area[[#This Row],[Clackmannanshire]]+weekly_all_cause_deaths_council_area[[#This Row],[Falkirk]]+weekly_all_cause_deaths_council_area[[#This Row],[Stirling]]</f>
        <v>50</v>
      </c>
      <c r="J27" s="19">
        <f>weekly_all_cause_deaths_council_area[[#This Row],[Aberdeen City]]+weekly_all_cause_deaths_council_area[[#This Row],[Aberdeenshire]]+weekly_all_cause_deaths_council_area[[#This Row],[Moray]]</f>
        <v>110</v>
      </c>
      <c r="K27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245</v>
      </c>
      <c r="L27" s="19">
        <f>weekly_all_cause_deaths_council_area[[#This Row],[Argyll and Bute]]+weekly_all_cause_deaths_council_area[[#This Row],[Highland]]</f>
        <v>74</v>
      </c>
      <c r="M27" s="52">
        <f>weekly_all_cause_deaths_council_area[[#This Row],[North Lanarkshire]]+weekly_all_cause_deaths_council_area[[#This Row],[South Lanarkshire]]</f>
        <v>142</v>
      </c>
      <c r="N2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156</v>
      </c>
      <c r="O27" s="60">
        <f>weekly_all_cause_deaths_council_area[[#This Row],[Orkney Islands]]</f>
        <v>5</v>
      </c>
      <c r="P27" s="60">
        <f>weekly_all_cause_deaths_council_area[[#This Row],[Shetland Islands]]</f>
        <v>5</v>
      </c>
      <c r="Q27" s="60">
        <f>weekly_all_cause_deaths_council_area[[#This Row],[Angus]]+weekly_all_cause_deaths_council_area[[#This Row],[Dundee City]]+weekly_all_cause_deaths_council_area[[#This Row],[Perth and Kinross]]</f>
        <v>105</v>
      </c>
      <c r="R27" s="60">
        <f>weekly_all_cause_deaths_council_area[[#This Row],[Na h-Eileanan Siar]]</f>
        <v>7</v>
      </c>
    </row>
    <row r="28" spans="1:18" ht="16.149999999999999" customHeight="1" x14ac:dyDescent="0.35">
      <c r="A28" s="14" t="s">
        <v>85</v>
      </c>
      <c r="B28" s="15">
        <v>23</v>
      </c>
      <c r="C28" s="16">
        <v>43983</v>
      </c>
      <c r="D28" s="20">
        <f>SUM(weekly_all_cause_deaths_health_board[[#This Row],[Ayrshire and Arran]:[Western Isles]])</f>
        <v>1093</v>
      </c>
      <c r="E28" s="19">
        <f>weekly_all_cause_deaths_council_area[[#This Row],[East Ayrshire]]+weekly_all_cause_deaths_council_area[[#This Row],[North Ayrshire]]+weekly_all_cause_deaths_council_area[[#This Row],[South Ayrshire]]</f>
        <v>75</v>
      </c>
      <c r="F28" s="19">
        <f>weekly_all_cause_deaths_council_area[[#This Row],[Scottish Borders ]]</f>
        <v>33</v>
      </c>
      <c r="G28" s="19">
        <f>weekly_all_cause_deaths_council_area[[#This Row],[Dumfries and Galloway]]</f>
        <v>31</v>
      </c>
      <c r="H28" s="19">
        <f>weekly_all_cause_deaths_council_area[[#This Row],[Fife]]</f>
        <v>71</v>
      </c>
      <c r="I28" s="19">
        <f>weekly_all_cause_deaths_council_area[[#This Row],[Clackmannanshire]]+weekly_all_cause_deaths_council_area[[#This Row],[Falkirk]]+weekly_all_cause_deaths_council_area[[#This Row],[Stirling]]</f>
        <v>69</v>
      </c>
      <c r="J28" s="19">
        <f>weekly_all_cause_deaths_council_area[[#This Row],[Aberdeen City]]+weekly_all_cause_deaths_council_area[[#This Row],[Aberdeenshire]]+weekly_all_cause_deaths_council_area[[#This Row],[Moray]]</f>
        <v>111</v>
      </c>
      <c r="K28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236</v>
      </c>
      <c r="L28" s="19">
        <f>weekly_all_cause_deaths_council_area[[#This Row],[Argyll and Bute]]+weekly_all_cause_deaths_council_area[[#This Row],[Highland]]</f>
        <v>73</v>
      </c>
      <c r="M28" s="52">
        <f>weekly_all_cause_deaths_council_area[[#This Row],[North Lanarkshire]]+weekly_all_cause_deaths_council_area[[#This Row],[South Lanarkshire]]</f>
        <v>134</v>
      </c>
      <c r="N2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154</v>
      </c>
      <c r="O28" s="60">
        <f>weekly_all_cause_deaths_council_area[[#This Row],[Orkney Islands]]</f>
        <v>8</v>
      </c>
      <c r="P28" s="60">
        <f>weekly_all_cause_deaths_council_area[[#This Row],[Shetland Islands]]</f>
        <v>3</v>
      </c>
      <c r="Q28" s="60">
        <f>weekly_all_cause_deaths_council_area[[#This Row],[Angus]]+weekly_all_cause_deaths_council_area[[#This Row],[Dundee City]]+weekly_all_cause_deaths_council_area[[#This Row],[Perth and Kinross]]</f>
        <v>90</v>
      </c>
      <c r="R28" s="60">
        <f>weekly_all_cause_deaths_council_area[[#This Row],[Na h-Eileanan Siar]]</f>
        <v>5</v>
      </c>
    </row>
    <row r="29" spans="1:18" ht="16.149999999999999" customHeight="1" x14ac:dyDescent="0.35">
      <c r="A29" s="14" t="s">
        <v>85</v>
      </c>
      <c r="B29" s="15">
        <v>24</v>
      </c>
      <c r="C29" s="16">
        <v>43990</v>
      </c>
      <c r="D29" s="20">
        <f>SUM(weekly_all_cause_deaths_health_board[[#This Row],[Ayrshire and Arran]:[Western Isles]])</f>
        <v>1034</v>
      </c>
      <c r="E29" s="19">
        <f>weekly_all_cause_deaths_council_area[[#This Row],[East Ayrshire]]+weekly_all_cause_deaths_council_area[[#This Row],[North Ayrshire]]+weekly_all_cause_deaths_council_area[[#This Row],[South Ayrshire]]</f>
        <v>88</v>
      </c>
      <c r="F29" s="19">
        <f>weekly_all_cause_deaths_council_area[[#This Row],[Scottish Borders ]]</f>
        <v>27</v>
      </c>
      <c r="G29" s="19">
        <f>weekly_all_cause_deaths_council_area[[#This Row],[Dumfries and Galloway]]</f>
        <v>37</v>
      </c>
      <c r="H29" s="19">
        <f>weekly_all_cause_deaths_council_area[[#This Row],[Fife]]</f>
        <v>51</v>
      </c>
      <c r="I29" s="19">
        <f>weekly_all_cause_deaths_council_area[[#This Row],[Clackmannanshire]]+weekly_all_cause_deaths_council_area[[#This Row],[Falkirk]]+weekly_all_cause_deaths_council_area[[#This Row],[Stirling]]</f>
        <v>63</v>
      </c>
      <c r="J29" s="19">
        <f>weekly_all_cause_deaths_council_area[[#This Row],[Aberdeen City]]+weekly_all_cause_deaths_council_area[[#This Row],[Aberdeenshire]]+weekly_all_cause_deaths_council_area[[#This Row],[Moray]]</f>
        <v>95</v>
      </c>
      <c r="K29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235</v>
      </c>
      <c r="L29" s="19">
        <f>weekly_all_cause_deaths_council_area[[#This Row],[Argyll and Bute]]+weekly_all_cause_deaths_council_area[[#This Row],[Highland]]</f>
        <v>67</v>
      </c>
      <c r="M29" s="52">
        <f>weekly_all_cause_deaths_council_area[[#This Row],[North Lanarkshire]]+weekly_all_cause_deaths_council_area[[#This Row],[South Lanarkshire]]</f>
        <v>129</v>
      </c>
      <c r="N29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136</v>
      </c>
      <c r="O29" s="60">
        <f>weekly_all_cause_deaths_council_area[[#This Row],[Orkney Islands]]</f>
        <v>2</v>
      </c>
      <c r="P29" s="60">
        <f>weekly_all_cause_deaths_council_area[[#This Row],[Shetland Islands]]</f>
        <v>4</v>
      </c>
      <c r="Q29" s="60">
        <f>weekly_all_cause_deaths_council_area[[#This Row],[Angus]]+weekly_all_cause_deaths_council_area[[#This Row],[Dundee City]]+weekly_all_cause_deaths_council_area[[#This Row],[Perth and Kinross]]</f>
        <v>90</v>
      </c>
      <c r="R29" s="60">
        <f>weekly_all_cause_deaths_council_area[[#This Row],[Na h-Eileanan Siar]]</f>
        <v>10</v>
      </c>
    </row>
    <row r="30" spans="1:18" ht="16.149999999999999" customHeight="1" x14ac:dyDescent="0.35">
      <c r="A30" s="14" t="s">
        <v>85</v>
      </c>
      <c r="B30" s="15">
        <v>25</v>
      </c>
      <c r="C30" s="16">
        <v>43997</v>
      </c>
      <c r="D30" s="20">
        <f>SUM(weekly_all_cause_deaths_health_board[[#This Row],[Ayrshire and Arran]:[Western Isles]])</f>
        <v>1065</v>
      </c>
      <c r="E30" s="19">
        <f>weekly_all_cause_deaths_council_area[[#This Row],[East Ayrshire]]+weekly_all_cause_deaths_council_area[[#This Row],[North Ayrshire]]+weekly_all_cause_deaths_council_area[[#This Row],[South Ayrshire]]</f>
        <v>88</v>
      </c>
      <c r="F30" s="19">
        <f>weekly_all_cause_deaths_council_area[[#This Row],[Scottish Borders ]]</f>
        <v>29</v>
      </c>
      <c r="G30" s="19">
        <f>weekly_all_cause_deaths_council_area[[#This Row],[Dumfries and Galloway]]</f>
        <v>42</v>
      </c>
      <c r="H30" s="19">
        <f>weekly_all_cause_deaths_council_area[[#This Row],[Fife]]</f>
        <v>63</v>
      </c>
      <c r="I30" s="19">
        <f>weekly_all_cause_deaths_council_area[[#This Row],[Clackmannanshire]]+weekly_all_cause_deaths_council_area[[#This Row],[Falkirk]]+weekly_all_cause_deaths_council_area[[#This Row],[Stirling]]</f>
        <v>52</v>
      </c>
      <c r="J30" s="19">
        <f>weekly_all_cause_deaths_council_area[[#This Row],[Aberdeen City]]+weekly_all_cause_deaths_council_area[[#This Row],[Aberdeenshire]]+weekly_all_cause_deaths_council_area[[#This Row],[Moray]]</f>
        <v>95</v>
      </c>
      <c r="K30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217</v>
      </c>
      <c r="L30" s="19">
        <f>weekly_all_cause_deaths_council_area[[#This Row],[Argyll and Bute]]+weekly_all_cause_deaths_council_area[[#This Row],[Highland]]</f>
        <v>66</v>
      </c>
      <c r="M30" s="52">
        <f>weekly_all_cause_deaths_council_area[[#This Row],[North Lanarkshire]]+weekly_all_cause_deaths_council_area[[#This Row],[South Lanarkshire]]</f>
        <v>137</v>
      </c>
      <c r="N30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168</v>
      </c>
      <c r="O30" s="60">
        <f>weekly_all_cause_deaths_council_area[[#This Row],[Orkney Islands]]</f>
        <v>5</v>
      </c>
      <c r="P30" s="60">
        <f>weekly_all_cause_deaths_council_area[[#This Row],[Shetland Islands]]</f>
        <v>3</v>
      </c>
      <c r="Q30" s="60">
        <f>weekly_all_cause_deaths_council_area[[#This Row],[Angus]]+weekly_all_cause_deaths_council_area[[#This Row],[Dundee City]]+weekly_all_cause_deaths_council_area[[#This Row],[Perth and Kinross]]</f>
        <v>92</v>
      </c>
      <c r="R30" s="60">
        <f>weekly_all_cause_deaths_council_area[[#This Row],[Na h-Eileanan Siar]]</f>
        <v>8</v>
      </c>
    </row>
    <row r="31" spans="1:18" ht="16.149999999999999" customHeight="1" x14ac:dyDescent="0.35">
      <c r="A31" s="14" t="s">
        <v>85</v>
      </c>
      <c r="B31" s="15">
        <v>26</v>
      </c>
      <c r="C31" s="16">
        <v>44004</v>
      </c>
      <c r="D31" s="3">
        <f>SUM(weekly_all_cause_deaths_health_board[[#This Row],[Ayrshire and Arran]:[Western Isles]])</f>
        <v>1008</v>
      </c>
      <c r="E31" s="19">
        <f>weekly_all_cause_deaths_council_area[[#This Row],[East Ayrshire]]+weekly_all_cause_deaths_council_area[[#This Row],[North Ayrshire]]+weekly_all_cause_deaths_council_area[[#This Row],[South Ayrshire]]</f>
        <v>84</v>
      </c>
      <c r="F31" s="19">
        <f>weekly_all_cause_deaths_council_area[[#This Row],[Scottish Borders ]]</f>
        <v>21</v>
      </c>
      <c r="G31" s="19">
        <f>weekly_all_cause_deaths_council_area[[#This Row],[Dumfries and Galloway]]</f>
        <v>32</v>
      </c>
      <c r="H31" s="19">
        <f>weekly_all_cause_deaths_council_area[[#This Row],[Fife]]</f>
        <v>72</v>
      </c>
      <c r="I31" s="19">
        <f>weekly_all_cause_deaths_council_area[[#This Row],[Clackmannanshire]]+weekly_all_cause_deaths_council_area[[#This Row],[Falkirk]]+weekly_all_cause_deaths_council_area[[#This Row],[Stirling]]</f>
        <v>67</v>
      </c>
      <c r="J31" s="19">
        <f>weekly_all_cause_deaths_council_area[[#This Row],[Aberdeen City]]+weekly_all_cause_deaths_council_area[[#This Row],[Aberdeenshire]]+weekly_all_cause_deaths_council_area[[#This Row],[Moray]]</f>
        <v>97</v>
      </c>
      <c r="K31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235</v>
      </c>
      <c r="L31" s="19">
        <f>weekly_all_cause_deaths_council_area[[#This Row],[Argyll and Bute]]+weekly_all_cause_deaths_council_area[[#This Row],[Highland]]</f>
        <v>54</v>
      </c>
      <c r="M31" s="52">
        <f>weekly_all_cause_deaths_council_area[[#This Row],[North Lanarkshire]]+weekly_all_cause_deaths_council_area[[#This Row],[South Lanarkshire]]</f>
        <v>148</v>
      </c>
      <c r="N31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125</v>
      </c>
      <c r="O31" s="60">
        <f>weekly_all_cause_deaths_council_area[[#This Row],[Orkney Islands]]</f>
        <v>4</v>
      </c>
      <c r="P31" s="60">
        <f>weekly_all_cause_deaths_council_area[[#This Row],[Shetland Islands]]</f>
        <v>0</v>
      </c>
      <c r="Q31" s="60">
        <f>weekly_all_cause_deaths_council_area[[#This Row],[Angus]]+weekly_all_cause_deaths_council_area[[#This Row],[Dundee City]]+weekly_all_cause_deaths_council_area[[#This Row],[Perth and Kinross]]</f>
        <v>63</v>
      </c>
      <c r="R31" s="60">
        <f>weekly_all_cause_deaths_council_area[[#This Row],[Na h-Eileanan Siar]]</f>
        <v>6</v>
      </c>
    </row>
    <row r="32" spans="1:18" ht="16.149999999999999" customHeight="1" x14ac:dyDescent="0.35">
      <c r="A32" s="14" t="s">
        <v>85</v>
      </c>
      <c r="B32" s="15">
        <v>27</v>
      </c>
      <c r="C32" s="16">
        <v>44011</v>
      </c>
      <c r="D32" s="20">
        <f>SUM(weekly_all_cause_deaths_health_board[[#This Row],[Ayrshire and Arran]:[Western Isles]])</f>
        <v>983</v>
      </c>
      <c r="E32" s="19">
        <f>weekly_all_cause_deaths_council_area[[#This Row],[East Ayrshire]]+weekly_all_cause_deaths_council_area[[#This Row],[North Ayrshire]]+weekly_all_cause_deaths_council_area[[#This Row],[South Ayrshire]]</f>
        <v>76</v>
      </c>
      <c r="F32" s="19">
        <f>weekly_all_cause_deaths_council_area[[#This Row],[Scottish Borders ]]</f>
        <v>25</v>
      </c>
      <c r="G32" s="19">
        <f>weekly_all_cause_deaths_council_area[[#This Row],[Dumfries and Galloway]]</f>
        <v>37</v>
      </c>
      <c r="H32" s="19">
        <f>weekly_all_cause_deaths_council_area[[#This Row],[Fife]]</f>
        <v>76</v>
      </c>
      <c r="I32" s="19">
        <f>weekly_all_cause_deaths_council_area[[#This Row],[Clackmannanshire]]+weekly_all_cause_deaths_council_area[[#This Row],[Falkirk]]+weekly_all_cause_deaths_council_area[[#This Row],[Stirling]]</f>
        <v>53</v>
      </c>
      <c r="J32" s="19">
        <f>weekly_all_cause_deaths_council_area[[#This Row],[Aberdeen City]]+weekly_all_cause_deaths_council_area[[#This Row],[Aberdeenshire]]+weekly_all_cause_deaths_council_area[[#This Row],[Moray]]</f>
        <v>83</v>
      </c>
      <c r="K32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208</v>
      </c>
      <c r="L32" s="19">
        <f>weekly_all_cause_deaths_council_area[[#This Row],[Argyll and Bute]]+weekly_all_cause_deaths_council_area[[#This Row],[Highland]]</f>
        <v>65</v>
      </c>
      <c r="M32" s="52">
        <f>weekly_all_cause_deaths_council_area[[#This Row],[North Lanarkshire]]+weekly_all_cause_deaths_council_area[[#This Row],[South Lanarkshire]]</f>
        <v>109</v>
      </c>
      <c r="N32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139</v>
      </c>
      <c r="O32" s="60">
        <f>weekly_all_cause_deaths_council_area[[#This Row],[Orkney Islands]]</f>
        <v>2</v>
      </c>
      <c r="P32" s="60">
        <f>weekly_all_cause_deaths_council_area[[#This Row],[Shetland Islands]]</f>
        <v>4</v>
      </c>
      <c r="Q32" s="60">
        <f>weekly_all_cause_deaths_council_area[[#This Row],[Angus]]+weekly_all_cause_deaths_council_area[[#This Row],[Dundee City]]+weekly_all_cause_deaths_council_area[[#This Row],[Perth and Kinross]]</f>
        <v>101</v>
      </c>
      <c r="R32" s="60">
        <f>weekly_all_cause_deaths_council_area[[#This Row],[Na h-Eileanan Siar]]</f>
        <v>5</v>
      </c>
    </row>
    <row r="33" spans="1:18" ht="16.149999999999999" customHeight="1" x14ac:dyDescent="0.35">
      <c r="A33" s="14" t="s">
        <v>85</v>
      </c>
      <c r="B33" s="15">
        <v>28</v>
      </c>
      <c r="C33" s="16">
        <v>44018</v>
      </c>
      <c r="D33" s="20">
        <f>SUM(weekly_all_cause_deaths_health_board[[#This Row],[Ayrshire and Arran]:[Western Isles]])</f>
        <v>977</v>
      </c>
      <c r="E33" s="19">
        <f>weekly_all_cause_deaths_council_area[[#This Row],[East Ayrshire]]+weekly_all_cause_deaths_council_area[[#This Row],[North Ayrshire]]+weekly_all_cause_deaths_council_area[[#This Row],[South Ayrshire]]</f>
        <v>83</v>
      </c>
      <c r="F33" s="19">
        <f>weekly_all_cause_deaths_council_area[[#This Row],[Scottish Borders ]]</f>
        <v>34</v>
      </c>
      <c r="G33" s="19">
        <f>weekly_all_cause_deaths_council_area[[#This Row],[Dumfries and Galloway]]</f>
        <v>37</v>
      </c>
      <c r="H33" s="19">
        <f>weekly_all_cause_deaths_council_area[[#This Row],[Fife]]</f>
        <v>64</v>
      </c>
      <c r="I33" s="19">
        <f>weekly_all_cause_deaths_council_area[[#This Row],[Clackmannanshire]]+weekly_all_cause_deaths_council_area[[#This Row],[Falkirk]]+weekly_all_cause_deaths_council_area[[#This Row],[Stirling]]</f>
        <v>44</v>
      </c>
      <c r="J33" s="19">
        <f>weekly_all_cause_deaths_council_area[[#This Row],[Aberdeen City]]+weekly_all_cause_deaths_council_area[[#This Row],[Aberdeenshire]]+weekly_all_cause_deaths_council_area[[#This Row],[Moray]]</f>
        <v>110</v>
      </c>
      <c r="K33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198</v>
      </c>
      <c r="L33" s="19">
        <f>weekly_all_cause_deaths_council_area[[#This Row],[Argyll and Bute]]+weekly_all_cause_deaths_council_area[[#This Row],[Highland]]</f>
        <v>67</v>
      </c>
      <c r="M33" s="52">
        <f>weekly_all_cause_deaths_council_area[[#This Row],[North Lanarkshire]]+weekly_all_cause_deaths_council_area[[#This Row],[South Lanarkshire]]</f>
        <v>111</v>
      </c>
      <c r="N33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125</v>
      </c>
      <c r="O33" s="60">
        <f>weekly_all_cause_deaths_council_area[[#This Row],[Orkney Islands]]</f>
        <v>4</v>
      </c>
      <c r="P33" s="60">
        <f>weekly_all_cause_deaths_council_area[[#This Row],[Shetland Islands]]</f>
        <v>7</v>
      </c>
      <c r="Q33" s="60">
        <f>weekly_all_cause_deaths_council_area[[#This Row],[Angus]]+weekly_all_cause_deaths_council_area[[#This Row],[Dundee City]]+weekly_all_cause_deaths_council_area[[#This Row],[Perth and Kinross]]</f>
        <v>88</v>
      </c>
      <c r="R33" s="60">
        <f>weekly_all_cause_deaths_council_area[[#This Row],[Na h-Eileanan Siar]]</f>
        <v>5</v>
      </c>
    </row>
    <row r="34" spans="1:18" ht="16.149999999999999" customHeight="1" x14ac:dyDescent="0.35">
      <c r="A34" s="14" t="s">
        <v>85</v>
      </c>
      <c r="B34" s="15">
        <v>29</v>
      </c>
      <c r="C34" s="16">
        <v>44025</v>
      </c>
      <c r="D34" s="3">
        <f>SUM(weekly_all_cause_deaths_health_board[[#This Row],[Ayrshire and Arran]:[Western Isles]])</f>
        <v>1033</v>
      </c>
      <c r="E34" s="19">
        <f>weekly_all_cause_deaths_council_area[[#This Row],[East Ayrshire]]+weekly_all_cause_deaths_council_area[[#This Row],[North Ayrshire]]+weekly_all_cause_deaths_council_area[[#This Row],[South Ayrshire]]</f>
        <v>92</v>
      </c>
      <c r="F34" s="19">
        <f>weekly_all_cause_deaths_council_area[[#This Row],[Scottish Borders ]]</f>
        <v>24</v>
      </c>
      <c r="G34" s="19">
        <f>weekly_all_cause_deaths_council_area[[#This Row],[Dumfries and Galloway]]</f>
        <v>31</v>
      </c>
      <c r="H34" s="19">
        <f>weekly_all_cause_deaths_council_area[[#This Row],[Fife]]</f>
        <v>75</v>
      </c>
      <c r="I34" s="19">
        <f>weekly_all_cause_deaths_council_area[[#This Row],[Clackmannanshire]]+weekly_all_cause_deaths_council_area[[#This Row],[Falkirk]]+weekly_all_cause_deaths_council_area[[#This Row],[Stirling]]</f>
        <v>68</v>
      </c>
      <c r="J34" s="19">
        <f>weekly_all_cause_deaths_council_area[[#This Row],[Aberdeen City]]+weekly_all_cause_deaths_council_area[[#This Row],[Aberdeenshire]]+weekly_all_cause_deaths_council_area[[#This Row],[Moray]]</f>
        <v>94</v>
      </c>
      <c r="K34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220</v>
      </c>
      <c r="L34" s="19">
        <f>weekly_all_cause_deaths_council_area[[#This Row],[Argyll and Bute]]+weekly_all_cause_deaths_council_area[[#This Row],[Highland]]</f>
        <v>72</v>
      </c>
      <c r="M34" s="52">
        <f>weekly_all_cause_deaths_council_area[[#This Row],[North Lanarkshire]]+weekly_all_cause_deaths_council_area[[#This Row],[South Lanarkshire]]</f>
        <v>127</v>
      </c>
      <c r="N34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120</v>
      </c>
      <c r="O34" s="60">
        <f>weekly_all_cause_deaths_council_area[[#This Row],[Orkney Islands]]</f>
        <v>3</v>
      </c>
      <c r="P34" s="60">
        <f>weekly_all_cause_deaths_council_area[[#This Row],[Shetland Islands]]</f>
        <v>5</v>
      </c>
      <c r="Q34" s="60">
        <f>weekly_all_cause_deaths_council_area[[#This Row],[Angus]]+weekly_all_cause_deaths_council_area[[#This Row],[Dundee City]]+weekly_all_cause_deaths_council_area[[#This Row],[Perth and Kinross]]</f>
        <v>95</v>
      </c>
      <c r="R34" s="60">
        <f>weekly_all_cause_deaths_council_area[[#This Row],[Na h-Eileanan Siar]]</f>
        <v>7</v>
      </c>
    </row>
    <row r="35" spans="1:18" ht="16.149999999999999" customHeight="1" x14ac:dyDescent="0.35">
      <c r="A35" s="14" t="s">
        <v>85</v>
      </c>
      <c r="B35" s="15">
        <v>30</v>
      </c>
      <c r="C35" s="16">
        <v>44032</v>
      </c>
      <c r="D35" s="3">
        <f>SUM(weekly_all_cause_deaths_health_board[[#This Row],[Ayrshire and Arran]:[Western Isles]])</f>
        <v>962</v>
      </c>
      <c r="E35" s="19">
        <f>weekly_all_cause_deaths_council_area[[#This Row],[East Ayrshire]]+weekly_all_cause_deaths_council_area[[#This Row],[North Ayrshire]]+weekly_all_cause_deaths_council_area[[#This Row],[South Ayrshire]]</f>
        <v>70</v>
      </c>
      <c r="F35" s="19">
        <f>weekly_all_cause_deaths_council_area[[#This Row],[Scottish Borders ]]</f>
        <v>30</v>
      </c>
      <c r="G35" s="19">
        <f>weekly_all_cause_deaths_council_area[[#This Row],[Dumfries and Galloway]]</f>
        <v>31</v>
      </c>
      <c r="H35" s="19">
        <f>weekly_all_cause_deaths_council_area[[#This Row],[Fife]]</f>
        <v>63</v>
      </c>
      <c r="I35" s="19">
        <f>weekly_all_cause_deaths_council_area[[#This Row],[Clackmannanshire]]+weekly_all_cause_deaths_council_area[[#This Row],[Falkirk]]+weekly_all_cause_deaths_council_area[[#This Row],[Stirling]]</f>
        <v>55</v>
      </c>
      <c r="J35" s="19">
        <f>weekly_all_cause_deaths_council_area[[#This Row],[Aberdeen City]]+weekly_all_cause_deaths_council_area[[#This Row],[Aberdeenshire]]+weekly_all_cause_deaths_council_area[[#This Row],[Moray]]</f>
        <v>87</v>
      </c>
      <c r="K35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213</v>
      </c>
      <c r="L35" s="19">
        <f>weekly_all_cause_deaths_council_area[[#This Row],[Argyll and Bute]]+weekly_all_cause_deaths_council_area[[#This Row],[Highland]]</f>
        <v>56</v>
      </c>
      <c r="M35" s="52">
        <f>weekly_all_cause_deaths_council_area[[#This Row],[North Lanarkshire]]+weekly_all_cause_deaths_council_area[[#This Row],[South Lanarkshire]]</f>
        <v>136</v>
      </c>
      <c r="N35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135</v>
      </c>
      <c r="O35" s="60">
        <f>weekly_all_cause_deaths_council_area[[#This Row],[Orkney Islands]]</f>
        <v>4</v>
      </c>
      <c r="P35" s="60">
        <f>weekly_all_cause_deaths_council_area[[#This Row],[Shetland Islands]]</f>
        <v>3</v>
      </c>
      <c r="Q35" s="60">
        <f>weekly_all_cause_deaths_council_area[[#This Row],[Angus]]+weekly_all_cause_deaths_council_area[[#This Row],[Dundee City]]+weekly_all_cause_deaths_council_area[[#This Row],[Perth and Kinross]]</f>
        <v>74</v>
      </c>
      <c r="R35" s="60">
        <f>weekly_all_cause_deaths_council_area[[#This Row],[Na h-Eileanan Siar]]</f>
        <v>5</v>
      </c>
    </row>
    <row r="36" spans="1:18" ht="16.149999999999999" customHeight="1" x14ac:dyDescent="0.35">
      <c r="A36" s="14" t="s">
        <v>85</v>
      </c>
      <c r="B36" s="15">
        <v>31</v>
      </c>
      <c r="C36" s="16">
        <v>44039</v>
      </c>
      <c r="D36" s="20">
        <f>SUM(weekly_all_cause_deaths_health_board[[#This Row],[Ayrshire and Arran]:[Western Isles]])</f>
        <v>1043</v>
      </c>
      <c r="E36" s="19">
        <f>weekly_all_cause_deaths_council_area[[#This Row],[East Ayrshire]]+weekly_all_cause_deaths_council_area[[#This Row],[North Ayrshire]]+weekly_all_cause_deaths_council_area[[#This Row],[South Ayrshire]]</f>
        <v>87</v>
      </c>
      <c r="F36" s="19">
        <f>weekly_all_cause_deaths_council_area[[#This Row],[Scottish Borders ]]</f>
        <v>19</v>
      </c>
      <c r="G36" s="19">
        <f>weekly_all_cause_deaths_council_area[[#This Row],[Dumfries and Galloway]]</f>
        <v>43</v>
      </c>
      <c r="H36" s="19">
        <f>weekly_all_cause_deaths_council_area[[#This Row],[Fife]]</f>
        <v>94</v>
      </c>
      <c r="I36" s="19">
        <f>weekly_all_cause_deaths_council_area[[#This Row],[Clackmannanshire]]+weekly_all_cause_deaths_council_area[[#This Row],[Falkirk]]+weekly_all_cause_deaths_council_area[[#This Row],[Stirling]]</f>
        <v>59</v>
      </c>
      <c r="J36" s="19">
        <f>weekly_all_cause_deaths_council_area[[#This Row],[Aberdeen City]]+weekly_all_cause_deaths_council_area[[#This Row],[Aberdeenshire]]+weekly_all_cause_deaths_council_area[[#This Row],[Moray]]</f>
        <v>122</v>
      </c>
      <c r="K36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225</v>
      </c>
      <c r="L36" s="19">
        <f>weekly_all_cause_deaths_council_area[[#This Row],[Argyll and Bute]]+weekly_all_cause_deaths_council_area[[#This Row],[Highland]]</f>
        <v>59</v>
      </c>
      <c r="M36" s="52">
        <f>weekly_all_cause_deaths_council_area[[#This Row],[North Lanarkshire]]+weekly_all_cause_deaths_council_area[[#This Row],[South Lanarkshire]]</f>
        <v>128</v>
      </c>
      <c r="N36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114</v>
      </c>
      <c r="O36" s="60">
        <f>weekly_all_cause_deaths_council_area[[#This Row],[Orkney Islands]]</f>
        <v>4</v>
      </c>
      <c r="P36" s="60">
        <f>weekly_all_cause_deaths_council_area[[#This Row],[Shetland Islands]]</f>
        <v>3</v>
      </c>
      <c r="Q36" s="60">
        <f>weekly_all_cause_deaths_council_area[[#This Row],[Angus]]+weekly_all_cause_deaths_council_area[[#This Row],[Dundee City]]+weekly_all_cause_deaths_council_area[[#This Row],[Perth and Kinross]]</f>
        <v>79</v>
      </c>
      <c r="R36" s="60">
        <f>weekly_all_cause_deaths_council_area[[#This Row],[Na h-Eileanan Siar]]</f>
        <v>7</v>
      </c>
    </row>
    <row r="37" spans="1:18" ht="16.149999999999999" customHeight="1" x14ac:dyDescent="0.35">
      <c r="A37" s="14" t="s">
        <v>85</v>
      </c>
      <c r="B37" s="15">
        <v>32</v>
      </c>
      <c r="C37" s="16">
        <v>44046</v>
      </c>
      <c r="D37" s="20">
        <f>SUM(weekly_all_cause_deaths_health_board[[#This Row],[Ayrshire and Arran]:[Western Isles]])</f>
        <v>1011</v>
      </c>
      <c r="E37" s="19">
        <f>weekly_all_cause_deaths_council_area[[#This Row],[East Ayrshire]]+weekly_all_cause_deaths_council_area[[#This Row],[North Ayrshire]]+weekly_all_cause_deaths_council_area[[#This Row],[South Ayrshire]]</f>
        <v>91</v>
      </c>
      <c r="F37" s="19">
        <f>weekly_all_cause_deaths_council_area[[#This Row],[Scottish Borders ]]</f>
        <v>26</v>
      </c>
      <c r="G37" s="19">
        <f>weekly_all_cause_deaths_council_area[[#This Row],[Dumfries and Galloway]]</f>
        <v>33</v>
      </c>
      <c r="H37" s="19">
        <f>weekly_all_cause_deaths_council_area[[#This Row],[Fife]]</f>
        <v>75</v>
      </c>
      <c r="I37" s="19">
        <f>weekly_all_cause_deaths_council_area[[#This Row],[Clackmannanshire]]+weekly_all_cause_deaths_council_area[[#This Row],[Falkirk]]+weekly_all_cause_deaths_council_area[[#This Row],[Stirling]]</f>
        <v>48</v>
      </c>
      <c r="J37" s="19">
        <f>weekly_all_cause_deaths_council_area[[#This Row],[Aberdeen City]]+weekly_all_cause_deaths_council_area[[#This Row],[Aberdeenshire]]+weekly_all_cause_deaths_council_area[[#This Row],[Moray]]</f>
        <v>91</v>
      </c>
      <c r="K37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214</v>
      </c>
      <c r="L37" s="19">
        <f>weekly_all_cause_deaths_council_area[[#This Row],[Argyll and Bute]]+weekly_all_cause_deaths_council_area[[#This Row],[Highland]]</f>
        <v>86</v>
      </c>
      <c r="M37" s="52">
        <f>weekly_all_cause_deaths_council_area[[#This Row],[North Lanarkshire]]+weekly_all_cause_deaths_council_area[[#This Row],[South Lanarkshire]]</f>
        <v>129</v>
      </c>
      <c r="N3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125</v>
      </c>
      <c r="O37" s="60">
        <f>weekly_all_cause_deaths_council_area[[#This Row],[Orkney Islands]]</f>
        <v>3</v>
      </c>
      <c r="P37" s="60">
        <f>weekly_all_cause_deaths_council_area[[#This Row],[Shetland Islands]]</f>
        <v>4</v>
      </c>
      <c r="Q37" s="60">
        <f>weekly_all_cause_deaths_council_area[[#This Row],[Angus]]+weekly_all_cause_deaths_council_area[[#This Row],[Dundee City]]+weekly_all_cause_deaths_council_area[[#This Row],[Perth and Kinross]]</f>
        <v>79</v>
      </c>
      <c r="R37" s="60">
        <f>weekly_all_cause_deaths_council_area[[#This Row],[Na h-Eileanan Siar]]</f>
        <v>7</v>
      </c>
    </row>
    <row r="38" spans="1:18" ht="16.149999999999999" customHeight="1" x14ac:dyDescent="0.35">
      <c r="A38" s="14" t="s">
        <v>85</v>
      </c>
      <c r="B38" s="15">
        <v>33</v>
      </c>
      <c r="C38" s="16">
        <v>44053</v>
      </c>
      <c r="D38" s="20">
        <f>SUM(weekly_all_cause_deaths_health_board[[#This Row],[Ayrshire and Arran]:[Western Isles]])</f>
        <v>928</v>
      </c>
      <c r="E38" s="19">
        <f>weekly_all_cause_deaths_council_area[[#This Row],[East Ayrshire]]+weekly_all_cause_deaths_council_area[[#This Row],[North Ayrshire]]+weekly_all_cause_deaths_council_area[[#This Row],[South Ayrshire]]</f>
        <v>63</v>
      </c>
      <c r="F38" s="19">
        <f>weekly_all_cause_deaths_council_area[[#This Row],[Scottish Borders ]]</f>
        <v>24</v>
      </c>
      <c r="G38" s="19">
        <f>weekly_all_cause_deaths_council_area[[#This Row],[Dumfries and Galloway]]</f>
        <v>30</v>
      </c>
      <c r="H38" s="19">
        <f>weekly_all_cause_deaths_council_area[[#This Row],[Fife]]</f>
        <v>73</v>
      </c>
      <c r="I38" s="19">
        <f>weekly_all_cause_deaths_council_area[[#This Row],[Clackmannanshire]]+weekly_all_cause_deaths_council_area[[#This Row],[Falkirk]]+weekly_all_cause_deaths_council_area[[#This Row],[Stirling]]</f>
        <v>41</v>
      </c>
      <c r="J38" s="19">
        <f>weekly_all_cause_deaths_council_area[[#This Row],[Aberdeen City]]+weekly_all_cause_deaths_council_area[[#This Row],[Aberdeenshire]]+weekly_all_cause_deaths_council_area[[#This Row],[Moray]]</f>
        <v>92</v>
      </c>
      <c r="K38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204</v>
      </c>
      <c r="L38" s="19">
        <f>weekly_all_cause_deaths_council_area[[#This Row],[Argyll and Bute]]+weekly_all_cause_deaths_council_area[[#This Row],[Highland]]</f>
        <v>61</v>
      </c>
      <c r="M38" s="52">
        <f>weekly_all_cause_deaths_council_area[[#This Row],[North Lanarkshire]]+weekly_all_cause_deaths_council_area[[#This Row],[South Lanarkshire]]</f>
        <v>125</v>
      </c>
      <c r="N3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131</v>
      </c>
      <c r="O38" s="60">
        <f>weekly_all_cause_deaths_council_area[[#This Row],[Orkney Islands]]</f>
        <v>5</v>
      </c>
      <c r="P38" s="60">
        <f>weekly_all_cause_deaths_council_area[[#This Row],[Shetland Islands]]</f>
        <v>1</v>
      </c>
      <c r="Q38" s="60">
        <f>weekly_all_cause_deaths_council_area[[#This Row],[Angus]]+weekly_all_cause_deaths_council_area[[#This Row],[Dundee City]]+weekly_all_cause_deaths_council_area[[#This Row],[Perth and Kinross]]</f>
        <v>67</v>
      </c>
      <c r="R38" s="60">
        <f>weekly_all_cause_deaths_council_area[[#This Row],[Na h-Eileanan Siar]]</f>
        <v>11</v>
      </c>
    </row>
    <row r="39" spans="1:18" ht="16.149999999999999" customHeight="1" x14ac:dyDescent="0.35">
      <c r="A39" s="14" t="s">
        <v>85</v>
      </c>
      <c r="B39" s="15">
        <v>34</v>
      </c>
      <c r="C39" s="16">
        <v>44060</v>
      </c>
      <c r="D39" s="20">
        <f>SUM(weekly_all_cause_deaths_health_board[[#This Row],[Ayrshire and Arran]:[Western Isles]])</f>
        <v>1046</v>
      </c>
      <c r="E39" s="19">
        <f>weekly_all_cause_deaths_council_area[[#This Row],[East Ayrshire]]+weekly_all_cause_deaths_council_area[[#This Row],[North Ayrshire]]+weekly_all_cause_deaths_council_area[[#This Row],[South Ayrshire]]</f>
        <v>85</v>
      </c>
      <c r="F39" s="19">
        <f>weekly_all_cause_deaths_council_area[[#This Row],[Scottish Borders ]]</f>
        <v>25</v>
      </c>
      <c r="G39" s="19">
        <f>weekly_all_cause_deaths_council_area[[#This Row],[Dumfries and Galloway]]</f>
        <v>43</v>
      </c>
      <c r="H39" s="19">
        <f>weekly_all_cause_deaths_council_area[[#This Row],[Fife]]</f>
        <v>93</v>
      </c>
      <c r="I39" s="19">
        <f>weekly_all_cause_deaths_council_area[[#This Row],[Clackmannanshire]]+weekly_all_cause_deaths_council_area[[#This Row],[Falkirk]]+weekly_all_cause_deaths_council_area[[#This Row],[Stirling]]</f>
        <v>54</v>
      </c>
      <c r="J39" s="19">
        <f>weekly_all_cause_deaths_council_area[[#This Row],[Aberdeen City]]+weekly_all_cause_deaths_council_area[[#This Row],[Aberdeenshire]]+weekly_all_cause_deaths_council_area[[#This Row],[Moray]]</f>
        <v>111</v>
      </c>
      <c r="K39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205</v>
      </c>
      <c r="L39" s="19">
        <f>weekly_all_cause_deaths_council_area[[#This Row],[Argyll and Bute]]+weekly_all_cause_deaths_council_area[[#This Row],[Highland]]</f>
        <v>80</v>
      </c>
      <c r="M39" s="52">
        <f>weekly_all_cause_deaths_council_area[[#This Row],[North Lanarkshire]]+weekly_all_cause_deaths_council_area[[#This Row],[South Lanarkshire]]</f>
        <v>131</v>
      </c>
      <c r="N39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127</v>
      </c>
      <c r="O39" s="60">
        <f>weekly_all_cause_deaths_council_area[[#This Row],[Orkney Islands]]</f>
        <v>3</v>
      </c>
      <c r="P39" s="60">
        <f>weekly_all_cause_deaths_council_area[[#This Row],[Shetland Islands]]</f>
        <v>2</v>
      </c>
      <c r="Q39" s="60">
        <f>weekly_all_cause_deaths_council_area[[#This Row],[Angus]]+weekly_all_cause_deaths_council_area[[#This Row],[Dundee City]]+weekly_all_cause_deaths_council_area[[#This Row],[Perth and Kinross]]</f>
        <v>81</v>
      </c>
      <c r="R39" s="60">
        <f>weekly_all_cause_deaths_council_area[[#This Row],[Na h-Eileanan Siar]]</f>
        <v>6</v>
      </c>
    </row>
    <row r="40" spans="1:18" ht="16.149999999999999" customHeight="1" x14ac:dyDescent="0.35">
      <c r="A40" s="14" t="s">
        <v>85</v>
      </c>
      <c r="B40" s="15">
        <v>35</v>
      </c>
      <c r="C40" s="16">
        <v>44067</v>
      </c>
      <c r="D40" s="20">
        <f>SUM(weekly_all_cause_deaths_health_board[[#This Row],[Ayrshire and Arran]:[Western Isles]])</f>
        <v>1030</v>
      </c>
      <c r="E40" s="19">
        <f>weekly_all_cause_deaths_council_area[[#This Row],[East Ayrshire]]+weekly_all_cause_deaths_council_area[[#This Row],[North Ayrshire]]+weekly_all_cause_deaths_council_area[[#This Row],[South Ayrshire]]</f>
        <v>66</v>
      </c>
      <c r="F40" s="19">
        <f>weekly_all_cause_deaths_council_area[[#This Row],[Scottish Borders ]]</f>
        <v>24</v>
      </c>
      <c r="G40" s="19">
        <f>weekly_all_cause_deaths_council_area[[#This Row],[Dumfries and Galloway]]</f>
        <v>28</v>
      </c>
      <c r="H40" s="19">
        <f>weekly_all_cause_deaths_council_area[[#This Row],[Fife]]</f>
        <v>76</v>
      </c>
      <c r="I40" s="19">
        <f>weekly_all_cause_deaths_council_area[[#This Row],[Clackmannanshire]]+weekly_all_cause_deaths_council_area[[#This Row],[Falkirk]]+weekly_all_cause_deaths_council_area[[#This Row],[Stirling]]</f>
        <v>64</v>
      </c>
      <c r="J40" s="19">
        <f>weekly_all_cause_deaths_council_area[[#This Row],[Aberdeen City]]+weekly_all_cause_deaths_council_area[[#This Row],[Aberdeenshire]]+weekly_all_cause_deaths_council_area[[#This Row],[Moray]]</f>
        <v>85</v>
      </c>
      <c r="K40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225</v>
      </c>
      <c r="L40" s="19">
        <f>weekly_all_cause_deaths_council_area[[#This Row],[Argyll and Bute]]+weekly_all_cause_deaths_council_area[[#This Row],[Highland]]</f>
        <v>65</v>
      </c>
      <c r="M40" s="52">
        <f>weekly_all_cause_deaths_council_area[[#This Row],[North Lanarkshire]]+weekly_all_cause_deaths_council_area[[#This Row],[South Lanarkshire]]</f>
        <v>151</v>
      </c>
      <c r="N40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143</v>
      </c>
      <c r="O40" s="60">
        <f>weekly_all_cause_deaths_council_area[[#This Row],[Orkney Islands]]</f>
        <v>8</v>
      </c>
      <c r="P40" s="60">
        <f>weekly_all_cause_deaths_council_area[[#This Row],[Shetland Islands]]</f>
        <v>3</v>
      </c>
      <c r="Q40" s="60">
        <f>weekly_all_cause_deaths_council_area[[#This Row],[Angus]]+weekly_all_cause_deaths_council_area[[#This Row],[Dundee City]]+weekly_all_cause_deaths_council_area[[#This Row],[Perth and Kinross]]</f>
        <v>84</v>
      </c>
      <c r="R40" s="60">
        <f>weekly_all_cause_deaths_council_area[[#This Row],[Na h-Eileanan Siar]]</f>
        <v>8</v>
      </c>
    </row>
    <row r="41" spans="1:18" ht="16.149999999999999" customHeight="1" x14ac:dyDescent="0.35">
      <c r="A41" s="14" t="s">
        <v>85</v>
      </c>
      <c r="B41" s="15">
        <v>36</v>
      </c>
      <c r="C41" s="16">
        <v>44074</v>
      </c>
      <c r="D41" s="20">
        <f>SUM(weekly_all_cause_deaths_health_board[[#This Row],[Ayrshire and Arran]:[Western Isles]])</f>
        <v>1050</v>
      </c>
      <c r="E41" s="19">
        <f>weekly_all_cause_deaths_council_area[[#This Row],[East Ayrshire]]+weekly_all_cause_deaths_council_area[[#This Row],[North Ayrshire]]+weekly_all_cause_deaths_council_area[[#This Row],[South Ayrshire]]</f>
        <v>86</v>
      </c>
      <c r="F41" s="19">
        <f>weekly_all_cause_deaths_council_area[[#This Row],[Scottish Borders ]]</f>
        <v>19</v>
      </c>
      <c r="G41" s="19">
        <f>weekly_all_cause_deaths_council_area[[#This Row],[Dumfries and Galloway]]</f>
        <v>42</v>
      </c>
      <c r="H41" s="19">
        <f>weekly_all_cause_deaths_council_area[[#This Row],[Fife]]</f>
        <v>79</v>
      </c>
      <c r="I41" s="19">
        <f>weekly_all_cause_deaths_council_area[[#This Row],[Clackmannanshire]]+weekly_all_cause_deaths_council_area[[#This Row],[Falkirk]]+weekly_all_cause_deaths_council_area[[#This Row],[Stirling]]</f>
        <v>63</v>
      </c>
      <c r="J41" s="19">
        <f>weekly_all_cause_deaths_council_area[[#This Row],[Aberdeen City]]+weekly_all_cause_deaths_council_area[[#This Row],[Aberdeenshire]]+weekly_all_cause_deaths_council_area[[#This Row],[Moray]]</f>
        <v>97</v>
      </c>
      <c r="K41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229</v>
      </c>
      <c r="L41" s="19">
        <f>weekly_all_cause_deaths_council_area[[#This Row],[Argyll and Bute]]+weekly_all_cause_deaths_council_area[[#This Row],[Highland]]</f>
        <v>67</v>
      </c>
      <c r="M41" s="52">
        <f>weekly_all_cause_deaths_council_area[[#This Row],[North Lanarkshire]]+weekly_all_cause_deaths_council_area[[#This Row],[South Lanarkshire]]</f>
        <v>146</v>
      </c>
      <c r="N41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123</v>
      </c>
      <c r="O41" s="60">
        <f>weekly_all_cause_deaths_council_area[[#This Row],[Orkney Islands]]</f>
        <v>4</v>
      </c>
      <c r="P41" s="60">
        <f>weekly_all_cause_deaths_council_area[[#This Row],[Shetland Islands]]</f>
        <v>6</v>
      </c>
      <c r="Q41" s="60">
        <f>weekly_all_cause_deaths_council_area[[#This Row],[Angus]]+weekly_all_cause_deaths_council_area[[#This Row],[Dundee City]]+weekly_all_cause_deaths_council_area[[#This Row],[Perth and Kinross]]</f>
        <v>85</v>
      </c>
      <c r="R41" s="60">
        <f>weekly_all_cause_deaths_council_area[[#This Row],[Na h-Eileanan Siar]]</f>
        <v>4</v>
      </c>
    </row>
    <row r="42" spans="1:18" ht="16.149999999999999" customHeight="1" x14ac:dyDescent="0.35">
      <c r="A42" s="14" t="s">
        <v>85</v>
      </c>
      <c r="B42" s="15">
        <v>37</v>
      </c>
      <c r="C42" s="16">
        <v>44081</v>
      </c>
      <c r="D42" s="20">
        <f>SUM(weekly_all_cause_deaths_health_board[[#This Row],[Ayrshire and Arran]:[Western Isles]])</f>
        <v>1069</v>
      </c>
      <c r="E42" s="19">
        <f>weekly_all_cause_deaths_council_area[[#This Row],[East Ayrshire]]+weekly_all_cause_deaths_council_area[[#This Row],[North Ayrshire]]+weekly_all_cause_deaths_council_area[[#This Row],[South Ayrshire]]</f>
        <v>88</v>
      </c>
      <c r="F42" s="19">
        <f>weekly_all_cause_deaths_council_area[[#This Row],[Scottish Borders ]]</f>
        <v>31</v>
      </c>
      <c r="G42" s="19">
        <f>weekly_all_cause_deaths_council_area[[#This Row],[Dumfries and Galloway]]</f>
        <v>40</v>
      </c>
      <c r="H42" s="19">
        <f>weekly_all_cause_deaths_council_area[[#This Row],[Fife]]</f>
        <v>69</v>
      </c>
      <c r="I42" s="19">
        <f>weekly_all_cause_deaths_council_area[[#This Row],[Clackmannanshire]]+weekly_all_cause_deaths_council_area[[#This Row],[Falkirk]]+weekly_all_cause_deaths_council_area[[#This Row],[Stirling]]</f>
        <v>63</v>
      </c>
      <c r="J42" s="19">
        <f>weekly_all_cause_deaths_council_area[[#This Row],[Aberdeen City]]+weekly_all_cause_deaths_council_area[[#This Row],[Aberdeenshire]]+weekly_all_cause_deaths_council_area[[#This Row],[Moray]]</f>
        <v>105</v>
      </c>
      <c r="K42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224</v>
      </c>
      <c r="L42" s="19">
        <f>weekly_all_cause_deaths_council_area[[#This Row],[Argyll and Bute]]+weekly_all_cause_deaths_council_area[[#This Row],[Highland]]</f>
        <v>66</v>
      </c>
      <c r="M42" s="52">
        <f>weekly_all_cause_deaths_council_area[[#This Row],[North Lanarkshire]]+weekly_all_cause_deaths_council_area[[#This Row],[South Lanarkshire]]</f>
        <v>138</v>
      </c>
      <c r="N42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128</v>
      </c>
      <c r="O42" s="60">
        <f>weekly_all_cause_deaths_council_area[[#This Row],[Orkney Islands]]</f>
        <v>6</v>
      </c>
      <c r="P42" s="60">
        <f>weekly_all_cause_deaths_council_area[[#This Row],[Shetland Islands]]</f>
        <v>6</v>
      </c>
      <c r="Q42" s="60">
        <f>weekly_all_cause_deaths_council_area[[#This Row],[Angus]]+weekly_all_cause_deaths_council_area[[#This Row],[Dundee City]]+weekly_all_cause_deaths_council_area[[#This Row],[Perth and Kinross]]</f>
        <v>99</v>
      </c>
      <c r="R42" s="60">
        <f>weekly_all_cause_deaths_council_area[[#This Row],[Na h-Eileanan Siar]]</f>
        <v>6</v>
      </c>
    </row>
    <row r="43" spans="1:18" ht="16.149999999999999" customHeight="1" x14ac:dyDescent="0.35">
      <c r="A43" s="14" t="s">
        <v>85</v>
      </c>
      <c r="B43" s="15">
        <v>38</v>
      </c>
      <c r="C43" s="16">
        <v>44088</v>
      </c>
      <c r="D43" s="21">
        <f>SUM(weekly_all_cause_deaths_health_board[[#This Row],[Ayrshire and Arran]:[Western Isles]])</f>
        <v>952</v>
      </c>
      <c r="E43" s="19">
        <f>weekly_all_cause_deaths_council_area[[#This Row],[East Ayrshire]]+weekly_all_cause_deaths_council_area[[#This Row],[North Ayrshire]]+weekly_all_cause_deaths_council_area[[#This Row],[South Ayrshire]]</f>
        <v>58</v>
      </c>
      <c r="F43" s="19">
        <f>weekly_all_cause_deaths_council_area[[#This Row],[Scottish Borders ]]</f>
        <v>23</v>
      </c>
      <c r="G43" s="19">
        <f>weekly_all_cause_deaths_council_area[[#This Row],[Dumfries and Galloway]]</f>
        <v>38</v>
      </c>
      <c r="H43" s="19">
        <f>weekly_all_cause_deaths_council_area[[#This Row],[Fife]]</f>
        <v>78</v>
      </c>
      <c r="I43" s="19">
        <f>weekly_all_cause_deaths_council_area[[#This Row],[Clackmannanshire]]+weekly_all_cause_deaths_council_area[[#This Row],[Falkirk]]+weekly_all_cause_deaths_council_area[[#This Row],[Stirling]]</f>
        <v>54</v>
      </c>
      <c r="J43" s="19">
        <f>weekly_all_cause_deaths_council_area[[#This Row],[Aberdeen City]]+weekly_all_cause_deaths_council_area[[#This Row],[Aberdeenshire]]+weekly_all_cause_deaths_council_area[[#This Row],[Moray]]</f>
        <v>100</v>
      </c>
      <c r="K43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218</v>
      </c>
      <c r="L43" s="19">
        <f>weekly_all_cause_deaths_council_area[[#This Row],[Argyll and Bute]]+weekly_all_cause_deaths_council_area[[#This Row],[Highland]]</f>
        <v>63</v>
      </c>
      <c r="M43" s="52">
        <f>weekly_all_cause_deaths_council_area[[#This Row],[North Lanarkshire]]+weekly_all_cause_deaths_council_area[[#This Row],[South Lanarkshire]]</f>
        <v>126</v>
      </c>
      <c r="N43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108</v>
      </c>
      <c r="O43" s="60">
        <f>weekly_all_cause_deaths_council_area[[#This Row],[Orkney Islands]]</f>
        <v>3</v>
      </c>
      <c r="P43" s="60">
        <f>weekly_all_cause_deaths_council_area[[#This Row],[Shetland Islands]]</f>
        <v>3</v>
      </c>
      <c r="Q43" s="60">
        <f>weekly_all_cause_deaths_council_area[[#This Row],[Angus]]+weekly_all_cause_deaths_council_area[[#This Row],[Dundee City]]+weekly_all_cause_deaths_council_area[[#This Row],[Perth and Kinross]]</f>
        <v>71</v>
      </c>
      <c r="R43" s="60">
        <f>weekly_all_cause_deaths_council_area[[#This Row],[Na h-Eileanan Siar]]</f>
        <v>9</v>
      </c>
    </row>
    <row r="44" spans="1:18" ht="16.149999999999999" customHeight="1" x14ac:dyDescent="0.35">
      <c r="A44" s="14" t="s">
        <v>85</v>
      </c>
      <c r="B44" s="15">
        <v>39</v>
      </c>
      <c r="C44" s="16">
        <v>44095</v>
      </c>
      <c r="D44" s="20">
        <f>SUM(weekly_all_cause_deaths_health_board[[#This Row],[Ayrshire and Arran]:[Western Isles]])</f>
        <v>933</v>
      </c>
      <c r="E44" s="19">
        <f>weekly_all_cause_deaths_council_area[[#This Row],[East Ayrshire]]+weekly_all_cause_deaths_council_area[[#This Row],[North Ayrshire]]+weekly_all_cause_deaths_council_area[[#This Row],[South Ayrshire]]</f>
        <v>73</v>
      </c>
      <c r="F44" s="19">
        <f>weekly_all_cause_deaths_council_area[[#This Row],[Scottish Borders ]]</f>
        <v>23</v>
      </c>
      <c r="G44" s="19">
        <f>weekly_all_cause_deaths_council_area[[#This Row],[Dumfries and Galloway]]</f>
        <v>34</v>
      </c>
      <c r="H44" s="19">
        <f>weekly_all_cause_deaths_council_area[[#This Row],[Fife]]</f>
        <v>69</v>
      </c>
      <c r="I44" s="19">
        <f>weekly_all_cause_deaths_council_area[[#This Row],[Clackmannanshire]]+weekly_all_cause_deaths_council_area[[#This Row],[Falkirk]]+weekly_all_cause_deaths_council_area[[#This Row],[Stirling]]</f>
        <v>59</v>
      </c>
      <c r="J44" s="19">
        <f>weekly_all_cause_deaths_council_area[[#This Row],[Aberdeen City]]+weekly_all_cause_deaths_council_area[[#This Row],[Aberdeenshire]]+weekly_all_cause_deaths_council_area[[#This Row],[Moray]]</f>
        <v>100</v>
      </c>
      <c r="K44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196</v>
      </c>
      <c r="L44" s="19">
        <f>weekly_all_cause_deaths_council_area[[#This Row],[Argyll and Bute]]+weekly_all_cause_deaths_council_area[[#This Row],[Highland]]</f>
        <v>51</v>
      </c>
      <c r="M44" s="52">
        <f>weekly_all_cause_deaths_council_area[[#This Row],[North Lanarkshire]]+weekly_all_cause_deaths_council_area[[#This Row],[South Lanarkshire]]</f>
        <v>126</v>
      </c>
      <c r="N44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121</v>
      </c>
      <c r="O44" s="60">
        <f>weekly_all_cause_deaths_council_area[[#This Row],[Orkney Islands]]</f>
        <v>5</v>
      </c>
      <c r="P44" s="60">
        <f>weekly_all_cause_deaths_council_area[[#This Row],[Shetland Islands]]</f>
        <v>2</v>
      </c>
      <c r="Q44" s="60">
        <f>weekly_all_cause_deaths_council_area[[#This Row],[Angus]]+weekly_all_cause_deaths_council_area[[#This Row],[Dundee City]]+weekly_all_cause_deaths_council_area[[#This Row],[Perth and Kinross]]</f>
        <v>69</v>
      </c>
      <c r="R44" s="60">
        <f>weekly_all_cause_deaths_council_area[[#This Row],[Na h-Eileanan Siar]]</f>
        <v>5</v>
      </c>
    </row>
    <row r="45" spans="1:18" ht="16.149999999999999" customHeight="1" x14ac:dyDescent="0.35">
      <c r="A45" s="14" t="s">
        <v>85</v>
      </c>
      <c r="B45" s="15">
        <v>40</v>
      </c>
      <c r="C45" s="16">
        <v>44102</v>
      </c>
      <c r="D45" s="20">
        <f>SUM(weekly_all_cause_deaths_health_board[[#This Row],[Ayrshire and Arran]:[Western Isles]])</f>
        <v>1196</v>
      </c>
      <c r="E45" s="19">
        <f>weekly_all_cause_deaths_council_area[[#This Row],[East Ayrshire]]+weekly_all_cause_deaths_council_area[[#This Row],[North Ayrshire]]+weekly_all_cause_deaths_council_area[[#This Row],[South Ayrshire]]</f>
        <v>100</v>
      </c>
      <c r="F45" s="19">
        <f>weekly_all_cause_deaths_council_area[[#This Row],[Scottish Borders ]]</f>
        <v>30</v>
      </c>
      <c r="G45" s="19">
        <f>weekly_all_cause_deaths_council_area[[#This Row],[Dumfries and Galloway]]</f>
        <v>40</v>
      </c>
      <c r="H45" s="19">
        <f>weekly_all_cause_deaths_council_area[[#This Row],[Fife]]</f>
        <v>86</v>
      </c>
      <c r="I45" s="19">
        <f>weekly_all_cause_deaths_council_area[[#This Row],[Clackmannanshire]]+weekly_all_cause_deaths_council_area[[#This Row],[Falkirk]]+weekly_all_cause_deaths_council_area[[#This Row],[Stirling]]</f>
        <v>75</v>
      </c>
      <c r="J45" s="19">
        <f>weekly_all_cause_deaths_council_area[[#This Row],[Aberdeen City]]+weekly_all_cause_deaths_council_area[[#This Row],[Aberdeenshire]]+weekly_all_cause_deaths_council_area[[#This Row],[Moray]]</f>
        <v>102</v>
      </c>
      <c r="K45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249</v>
      </c>
      <c r="L45" s="19">
        <f>weekly_all_cause_deaths_council_area[[#This Row],[Argyll and Bute]]+weekly_all_cause_deaths_council_area[[#This Row],[Highland]]</f>
        <v>77</v>
      </c>
      <c r="M45" s="52">
        <f>weekly_all_cause_deaths_council_area[[#This Row],[North Lanarkshire]]+weekly_all_cause_deaths_council_area[[#This Row],[South Lanarkshire]]</f>
        <v>154</v>
      </c>
      <c r="N45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172</v>
      </c>
      <c r="O45" s="60">
        <f>weekly_all_cause_deaths_council_area[[#This Row],[Orkney Islands]]</f>
        <v>3</v>
      </c>
      <c r="P45" s="60">
        <f>weekly_all_cause_deaths_council_area[[#This Row],[Shetland Islands]]</f>
        <v>2</v>
      </c>
      <c r="Q45" s="60">
        <f>weekly_all_cause_deaths_council_area[[#This Row],[Angus]]+weekly_all_cause_deaths_council_area[[#This Row],[Dundee City]]+weekly_all_cause_deaths_council_area[[#This Row],[Perth and Kinross]]</f>
        <v>103</v>
      </c>
      <c r="R45" s="60">
        <f>weekly_all_cause_deaths_council_area[[#This Row],[Na h-Eileanan Siar]]</f>
        <v>3</v>
      </c>
    </row>
    <row r="46" spans="1:18" ht="16.149999999999999" customHeight="1" x14ac:dyDescent="0.35">
      <c r="A46" s="14" t="s">
        <v>85</v>
      </c>
      <c r="B46" s="15">
        <v>41</v>
      </c>
      <c r="C46" s="16">
        <v>44109</v>
      </c>
      <c r="D46" s="20">
        <f>SUM(weekly_all_cause_deaths_health_board[[#This Row],[Ayrshire and Arran]:[Western Isles]])</f>
        <v>1072</v>
      </c>
      <c r="E46" s="19">
        <f>weekly_all_cause_deaths_council_area[[#This Row],[East Ayrshire]]+weekly_all_cause_deaths_council_area[[#This Row],[North Ayrshire]]+weekly_all_cause_deaths_council_area[[#This Row],[South Ayrshire]]</f>
        <v>87</v>
      </c>
      <c r="F46" s="19">
        <f>weekly_all_cause_deaths_council_area[[#This Row],[Scottish Borders ]]</f>
        <v>23</v>
      </c>
      <c r="G46" s="19">
        <f>weekly_all_cause_deaths_council_area[[#This Row],[Dumfries and Galloway]]</f>
        <v>37</v>
      </c>
      <c r="H46" s="19">
        <f>weekly_all_cause_deaths_council_area[[#This Row],[Fife]]</f>
        <v>81</v>
      </c>
      <c r="I46" s="19">
        <f>weekly_all_cause_deaths_council_area[[#This Row],[Clackmannanshire]]+weekly_all_cause_deaths_council_area[[#This Row],[Falkirk]]+weekly_all_cause_deaths_council_area[[#This Row],[Stirling]]</f>
        <v>64</v>
      </c>
      <c r="J46" s="19">
        <f>weekly_all_cause_deaths_council_area[[#This Row],[Aberdeen City]]+weekly_all_cause_deaths_council_area[[#This Row],[Aberdeenshire]]+weekly_all_cause_deaths_council_area[[#This Row],[Moray]]</f>
        <v>101</v>
      </c>
      <c r="K46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227</v>
      </c>
      <c r="L46" s="19">
        <f>weekly_all_cause_deaths_council_area[[#This Row],[Argyll and Bute]]+weekly_all_cause_deaths_council_area[[#This Row],[Highland]]</f>
        <v>57</v>
      </c>
      <c r="M46" s="52">
        <f>weekly_all_cause_deaths_council_area[[#This Row],[North Lanarkshire]]+weekly_all_cause_deaths_council_area[[#This Row],[South Lanarkshire]]</f>
        <v>141</v>
      </c>
      <c r="N46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147</v>
      </c>
      <c r="O46" s="60">
        <f>weekly_all_cause_deaths_council_area[[#This Row],[Orkney Islands]]</f>
        <v>6</v>
      </c>
      <c r="P46" s="60">
        <f>weekly_all_cause_deaths_council_area[[#This Row],[Shetland Islands]]</f>
        <v>4</v>
      </c>
      <c r="Q46" s="60">
        <f>weekly_all_cause_deaths_council_area[[#This Row],[Angus]]+weekly_all_cause_deaths_council_area[[#This Row],[Dundee City]]+weekly_all_cause_deaths_council_area[[#This Row],[Perth and Kinross]]</f>
        <v>90</v>
      </c>
      <c r="R46" s="60">
        <f>weekly_all_cause_deaths_council_area[[#This Row],[Na h-Eileanan Siar]]</f>
        <v>7</v>
      </c>
    </row>
    <row r="47" spans="1:18" ht="16.149999999999999" customHeight="1" x14ac:dyDescent="0.35">
      <c r="A47" s="14" t="s">
        <v>85</v>
      </c>
      <c r="B47" s="15">
        <v>42</v>
      </c>
      <c r="C47" s="16">
        <v>44116</v>
      </c>
      <c r="D47" s="20">
        <f>SUM(weekly_all_cause_deaths_health_board[[#This Row],[Ayrshire and Arran]:[Western Isles]])</f>
        <v>1134</v>
      </c>
      <c r="E47" s="19">
        <f>weekly_all_cause_deaths_council_area[[#This Row],[East Ayrshire]]+weekly_all_cause_deaths_council_area[[#This Row],[North Ayrshire]]+weekly_all_cause_deaths_council_area[[#This Row],[South Ayrshire]]</f>
        <v>94</v>
      </c>
      <c r="F47" s="19">
        <f>weekly_all_cause_deaths_council_area[[#This Row],[Scottish Borders ]]</f>
        <v>17</v>
      </c>
      <c r="G47" s="19">
        <f>weekly_all_cause_deaths_council_area[[#This Row],[Dumfries and Galloway]]</f>
        <v>42</v>
      </c>
      <c r="H47" s="19">
        <f>weekly_all_cause_deaths_council_area[[#This Row],[Fife]]</f>
        <v>69</v>
      </c>
      <c r="I47" s="19">
        <f>weekly_all_cause_deaths_council_area[[#This Row],[Clackmannanshire]]+weekly_all_cause_deaths_council_area[[#This Row],[Falkirk]]+weekly_all_cause_deaths_council_area[[#This Row],[Stirling]]</f>
        <v>72</v>
      </c>
      <c r="J47" s="19">
        <f>weekly_all_cause_deaths_council_area[[#This Row],[Aberdeen City]]+weekly_all_cause_deaths_council_area[[#This Row],[Aberdeenshire]]+weekly_all_cause_deaths_council_area[[#This Row],[Moray]]</f>
        <v>105</v>
      </c>
      <c r="K47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251</v>
      </c>
      <c r="L47" s="19">
        <f>weekly_all_cause_deaths_council_area[[#This Row],[Argyll and Bute]]+weekly_all_cause_deaths_council_area[[#This Row],[Highland]]</f>
        <v>70</v>
      </c>
      <c r="M47" s="52">
        <f>weekly_all_cause_deaths_council_area[[#This Row],[North Lanarkshire]]+weekly_all_cause_deaths_council_area[[#This Row],[South Lanarkshire]]</f>
        <v>142</v>
      </c>
      <c r="N4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175</v>
      </c>
      <c r="O47" s="60">
        <f>weekly_all_cause_deaths_council_area[[#This Row],[Orkney Islands]]</f>
        <v>2</v>
      </c>
      <c r="P47" s="60">
        <f>weekly_all_cause_deaths_council_area[[#This Row],[Shetland Islands]]</f>
        <v>4</v>
      </c>
      <c r="Q47" s="60">
        <f>weekly_all_cause_deaths_council_area[[#This Row],[Angus]]+weekly_all_cause_deaths_council_area[[#This Row],[Dundee City]]+weekly_all_cause_deaths_council_area[[#This Row],[Perth and Kinross]]</f>
        <v>85</v>
      </c>
      <c r="R47" s="60">
        <f>weekly_all_cause_deaths_council_area[[#This Row],[Na h-Eileanan Siar]]</f>
        <v>6</v>
      </c>
    </row>
    <row r="48" spans="1:18" ht="16.149999999999999" customHeight="1" x14ac:dyDescent="0.35">
      <c r="A48" s="14" t="s">
        <v>85</v>
      </c>
      <c r="B48" s="15">
        <v>43</v>
      </c>
      <c r="C48" s="16">
        <v>44123</v>
      </c>
      <c r="D48" s="20">
        <f>SUM(weekly_all_cause_deaths_health_board[[#This Row],[Ayrshire and Arran]:[Western Isles]])</f>
        <v>1187</v>
      </c>
      <c r="E48" s="19">
        <f>weekly_all_cause_deaths_council_area[[#This Row],[East Ayrshire]]+weekly_all_cause_deaths_council_area[[#This Row],[North Ayrshire]]+weekly_all_cause_deaths_council_area[[#This Row],[South Ayrshire]]</f>
        <v>96</v>
      </c>
      <c r="F48" s="19">
        <f>weekly_all_cause_deaths_council_area[[#This Row],[Scottish Borders ]]</f>
        <v>25</v>
      </c>
      <c r="G48" s="19">
        <f>weekly_all_cause_deaths_council_area[[#This Row],[Dumfries and Galloway]]</f>
        <v>42</v>
      </c>
      <c r="H48" s="19">
        <f>weekly_all_cause_deaths_council_area[[#This Row],[Fife]]</f>
        <v>73</v>
      </c>
      <c r="I48" s="19">
        <f>weekly_all_cause_deaths_council_area[[#This Row],[Clackmannanshire]]+weekly_all_cause_deaths_council_area[[#This Row],[Falkirk]]+weekly_all_cause_deaths_council_area[[#This Row],[Stirling]]</f>
        <v>70</v>
      </c>
      <c r="J48" s="19">
        <f>weekly_all_cause_deaths_council_area[[#This Row],[Aberdeen City]]+weekly_all_cause_deaths_council_area[[#This Row],[Aberdeenshire]]+weekly_all_cause_deaths_council_area[[#This Row],[Moray]]</f>
        <v>100</v>
      </c>
      <c r="K48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270</v>
      </c>
      <c r="L48" s="19">
        <f>weekly_all_cause_deaths_council_area[[#This Row],[Argyll and Bute]]+weekly_all_cause_deaths_council_area[[#This Row],[Highland]]</f>
        <v>80</v>
      </c>
      <c r="M48" s="52">
        <f>weekly_all_cause_deaths_council_area[[#This Row],[North Lanarkshire]]+weekly_all_cause_deaths_council_area[[#This Row],[South Lanarkshire]]</f>
        <v>148</v>
      </c>
      <c r="N4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172</v>
      </c>
      <c r="O48" s="60">
        <f>weekly_all_cause_deaths_council_area[[#This Row],[Orkney Islands]]</f>
        <v>3</v>
      </c>
      <c r="P48" s="60">
        <f>weekly_all_cause_deaths_council_area[[#This Row],[Shetland Islands]]</f>
        <v>6</v>
      </c>
      <c r="Q48" s="60">
        <f>weekly_all_cause_deaths_council_area[[#This Row],[Angus]]+weekly_all_cause_deaths_council_area[[#This Row],[Dundee City]]+weekly_all_cause_deaths_council_area[[#This Row],[Perth and Kinross]]</f>
        <v>99</v>
      </c>
      <c r="R48" s="60">
        <f>weekly_all_cause_deaths_council_area[[#This Row],[Na h-Eileanan Siar]]</f>
        <v>3</v>
      </c>
    </row>
    <row r="49" spans="1:18" ht="16.149999999999999" customHeight="1" x14ac:dyDescent="0.35">
      <c r="A49" s="14" t="s">
        <v>85</v>
      </c>
      <c r="B49" s="15">
        <v>44</v>
      </c>
      <c r="C49" s="16">
        <v>44130</v>
      </c>
      <c r="D49" s="21">
        <f>SUM(weekly_all_cause_deaths_health_board[[#This Row],[Ayrshire and Arran]:[Western Isles]])</f>
        <v>1262</v>
      </c>
      <c r="E49" s="25">
        <f>weekly_all_cause_deaths_council_area[[#This Row],[East Ayrshire]]+weekly_all_cause_deaths_council_area[[#This Row],[North Ayrshire]]+weekly_all_cause_deaths_council_area[[#This Row],[South Ayrshire]]</f>
        <v>118</v>
      </c>
      <c r="F49" s="25">
        <f>weekly_all_cause_deaths_council_area[[#This Row],[Scottish Borders ]]</f>
        <v>19</v>
      </c>
      <c r="G49" s="25">
        <f>weekly_all_cause_deaths_council_area[[#This Row],[Dumfries and Galloway]]</f>
        <v>62</v>
      </c>
      <c r="H49" s="25">
        <f>weekly_all_cause_deaths_council_area[[#This Row],[Fife]]</f>
        <v>70</v>
      </c>
      <c r="I49" s="25">
        <f>weekly_all_cause_deaths_council_area[[#This Row],[Clackmannanshire]]+weekly_all_cause_deaths_council_area[[#This Row],[Falkirk]]+weekly_all_cause_deaths_council_area[[#This Row],[Stirling]]</f>
        <v>58</v>
      </c>
      <c r="J49" s="25">
        <f>weekly_all_cause_deaths_council_area[[#This Row],[Aberdeen City]]+weekly_all_cause_deaths_council_area[[#This Row],[Aberdeenshire]]+weekly_all_cause_deaths_council_area[[#This Row],[Moray]]</f>
        <v>111</v>
      </c>
      <c r="K49" s="25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298</v>
      </c>
      <c r="L49" s="25">
        <f>weekly_all_cause_deaths_council_area[[#This Row],[Argyll and Bute]]+weekly_all_cause_deaths_council_area[[#This Row],[Highland]]</f>
        <v>62</v>
      </c>
      <c r="M49" s="52">
        <f>weekly_all_cause_deaths_council_area[[#This Row],[North Lanarkshire]]+weekly_all_cause_deaths_council_area[[#This Row],[South Lanarkshire]]</f>
        <v>183</v>
      </c>
      <c r="N49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177</v>
      </c>
      <c r="O49" s="60">
        <f>weekly_all_cause_deaths_council_area[[#This Row],[Orkney Islands]]</f>
        <v>5</v>
      </c>
      <c r="P49" s="60">
        <f>weekly_all_cause_deaths_council_area[[#This Row],[Shetland Islands]]</f>
        <v>4</v>
      </c>
      <c r="Q49" s="60">
        <f>weekly_all_cause_deaths_council_area[[#This Row],[Angus]]+weekly_all_cause_deaths_council_area[[#This Row],[Dundee City]]+weekly_all_cause_deaths_council_area[[#This Row],[Perth and Kinross]]</f>
        <v>88</v>
      </c>
      <c r="R49" s="60">
        <f>weekly_all_cause_deaths_council_area[[#This Row],[Na h-Eileanan Siar]]</f>
        <v>7</v>
      </c>
    </row>
    <row r="50" spans="1:18" ht="16.149999999999999" customHeight="1" x14ac:dyDescent="0.35">
      <c r="A50" s="14" t="s">
        <v>85</v>
      </c>
      <c r="B50" s="15">
        <v>45</v>
      </c>
      <c r="C50" s="16">
        <v>44137</v>
      </c>
      <c r="D50" s="20">
        <f>SUM(weekly_all_cause_deaths_health_board[[#This Row],[Ayrshire and Arran]:[Western Isles]])</f>
        <v>1250</v>
      </c>
      <c r="E50" s="19">
        <f>weekly_all_cause_deaths_council_area[[#This Row],[East Ayrshire]]+weekly_all_cause_deaths_council_area[[#This Row],[North Ayrshire]]+weekly_all_cause_deaths_council_area[[#This Row],[South Ayrshire]]</f>
        <v>128</v>
      </c>
      <c r="F50" s="19">
        <f>weekly_all_cause_deaths_council_area[[#This Row],[Scottish Borders ]]</f>
        <v>30</v>
      </c>
      <c r="G50" s="19">
        <f>weekly_all_cause_deaths_council_area[[#This Row],[Dumfries and Galloway]]</f>
        <v>31</v>
      </c>
      <c r="H50" s="19">
        <f>weekly_all_cause_deaths_council_area[[#This Row],[Fife]]</f>
        <v>79</v>
      </c>
      <c r="I50" s="19">
        <f>weekly_all_cause_deaths_council_area[[#This Row],[Clackmannanshire]]+weekly_all_cause_deaths_council_area[[#This Row],[Falkirk]]+weekly_all_cause_deaths_council_area[[#This Row],[Stirling]]</f>
        <v>71</v>
      </c>
      <c r="J50" s="19">
        <f>weekly_all_cause_deaths_council_area[[#This Row],[Aberdeen City]]+weekly_all_cause_deaths_council_area[[#This Row],[Aberdeenshire]]+weekly_all_cause_deaths_council_area[[#This Row],[Moray]]</f>
        <v>93</v>
      </c>
      <c r="K50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341</v>
      </c>
      <c r="L50" s="19">
        <f>weekly_all_cause_deaths_council_area[[#This Row],[Argyll and Bute]]+weekly_all_cause_deaths_council_area[[#This Row],[Highland]]</f>
        <v>73</v>
      </c>
      <c r="M50" s="52">
        <f>weekly_all_cause_deaths_council_area[[#This Row],[North Lanarkshire]]+weekly_all_cause_deaths_council_area[[#This Row],[South Lanarkshire]]</f>
        <v>152</v>
      </c>
      <c r="N50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146</v>
      </c>
      <c r="O50" s="60">
        <f>weekly_all_cause_deaths_council_area[[#This Row],[Orkney Islands]]</f>
        <v>4</v>
      </c>
      <c r="P50" s="60">
        <f>weekly_all_cause_deaths_council_area[[#This Row],[Shetland Islands]]</f>
        <v>4</v>
      </c>
      <c r="Q50" s="60">
        <f>weekly_all_cause_deaths_council_area[[#This Row],[Angus]]+weekly_all_cause_deaths_council_area[[#This Row],[Dundee City]]+weekly_all_cause_deaths_council_area[[#This Row],[Perth and Kinross]]</f>
        <v>92</v>
      </c>
      <c r="R50" s="60">
        <f>weekly_all_cause_deaths_council_area[[#This Row],[Na h-Eileanan Siar]]</f>
        <v>6</v>
      </c>
    </row>
    <row r="51" spans="1:18" ht="16.149999999999999" customHeight="1" x14ac:dyDescent="0.35">
      <c r="A51" s="14" t="s">
        <v>85</v>
      </c>
      <c r="B51" s="15">
        <v>46</v>
      </c>
      <c r="C51" s="16">
        <v>44144</v>
      </c>
      <c r="D51" s="3">
        <f>SUM(weekly_all_cause_deaths_health_board[[#This Row],[Ayrshire and Arran]:[Western Isles]])</f>
        <v>1338</v>
      </c>
      <c r="E51" s="19">
        <f>weekly_all_cause_deaths_council_area[[#This Row],[East Ayrshire]]+weekly_all_cause_deaths_council_area[[#This Row],[North Ayrshire]]+weekly_all_cause_deaths_council_area[[#This Row],[South Ayrshire]]</f>
        <v>121</v>
      </c>
      <c r="F51" s="19">
        <f>weekly_all_cause_deaths_council_area[[#This Row],[Scottish Borders ]]</f>
        <v>23</v>
      </c>
      <c r="G51" s="19">
        <f>weekly_all_cause_deaths_council_area[[#This Row],[Dumfries and Galloway]]</f>
        <v>35</v>
      </c>
      <c r="H51" s="19">
        <f>weekly_all_cause_deaths_council_area[[#This Row],[Fife]]</f>
        <v>73</v>
      </c>
      <c r="I51" s="19">
        <f>weekly_all_cause_deaths_council_area[[#This Row],[Clackmannanshire]]+weekly_all_cause_deaths_council_area[[#This Row],[Falkirk]]+weekly_all_cause_deaths_council_area[[#This Row],[Stirling]]</f>
        <v>73</v>
      </c>
      <c r="J51" s="19">
        <f>weekly_all_cause_deaths_council_area[[#This Row],[Aberdeen City]]+weekly_all_cause_deaths_council_area[[#This Row],[Aberdeenshire]]+weekly_all_cause_deaths_council_area[[#This Row],[Moray]]</f>
        <v>95</v>
      </c>
      <c r="K51" s="19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352</v>
      </c>
      <c r="L51" s="19">
        <f>weekly_all_cause_deaths_council_area[[#This Row],[Argyll and Bute]]+weekly_all_cause_deaths_council_area[[#This Row],[Highland]]</f>
        <v>69</v>
      </c>
      <c r="M51" s="52">
        <f>weekly_all_cause_deaths_council_area[[#This Row],[North Lanarkshire]]+weekly_all_cause_deaths_council_area[[#This Row],[South Lanarkshire]]</f>
        <v>197</v>
      </c>
      <c r="N51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180</v>
      </c>
      <c r="O51" s="60">
        <f>weekly_all_cause_deaths_council_area[[#This Row],[Orkney Islands]]</f>
        <v>6</v>
      </c>
      <c r="P51" s="60">
        <f>weekly_all_cause_deaths_council_area[[#This Row],[Shetland Islands]]</f>
        <v>2</v>
      </c>
      <c r="Q51" s="60">
        <f>weekly_all_cause_deaths_council_area[[#This Row],[Angus]]+weekly_all_cause_deaths_council_area[[#This Row],[Dundee City]]+weekly_all_cause_deaths_council_area[[#This Row],[Perth and Kinross]]</f>
        <v>110</v>
      </c>
      <c r="R51" s="60">
        <f>weekly_all_cause_deaths_council_area[[#This Row],[Na h-Eileanan Siar]]</f>
        <v>2</v>
      </c>
    </row>
    <row r="52" spans="1:18" ht="16.149999999999999" customHeight="1" x14ac:dyDescent="0.35">
      <c r="A52" s="14" t="s">
        <v>85</v>
      </c>
      <c r="B52" s="15">
        <v>47</v>
      </c>
      <c r="C52" s="16">
        <v>44151</v>
      </c>
      <c r="D52" s="21">
        <f>SUM(weekly_all_cause_deaths_health_board[[#This Row],[Ayrshire and Arran]:[Western Isles]])</f>
        <v>1360</v>
      </c>
      <c r="E52" s="25">
        <f>weekly_all_cause_deaths_council_area[[#This Row],[East Ayrshire]]+weekly_all_cause_deaths_council_area[[#This Row],[North Ayrshire]]+weekly_all_cause_deaths_council_area[[#This Row],[South Ayrshire]]</f>
        <v>120</v>
      </c>
      <c r="F52" s="25">
        <f>weekly_all_cause_deaths_council_area[[#This Row],[Scottish Borders ]]</f>
        <v>22</v>
      </c>
      <c r="G52" s="25">
        <f>weekly_all_cause_deaths_council_area[[#This Row],[Dumfries and Galloway]]</f>
        <v>33</v>
      </c>
      <c r="H52" s="25">
        <f>weekly_all_cause_deaths_council_area[[#This Row],[Fife]]</f>
        <v>79</v>
      </c>
      <c r="I52" s="25">
        <f>weekly_all_cause_deaths_council_area[[#This Row],[Clackmannanshire]]+weekly_all_cause_deaths_council_area[[#This Row],[Falkirk]]+weekly_all_cause_deaths_council_area[[#This Row],[Stirling]]</f>
        <v>85</v>
      </c>
      <c r="J52" s="25">
        <f>weekly_all_cause_deaths_council_area[[#This Row],[Aberdeen City]]+weekly_all_cause_deaths_council_area[[#This Row],[Aberdeenshire]]+weekly_all_cause_deaths_council_area[[#This Row],[Moray]]</f>
        <v>113</v>
      </c>
      <c r="K52" s="25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329</v>
      </c>
      <c r="L52" s="25">
        <f>weekly_all_cause_deaths_council_area[[#This Row],[Argyll and Bute]]+weekly_all_cause_deaths_council_area[[#This Row],[Highland]]</f>
        <v>83</v>
      </c>
      <c r="M52" s="52">
        <f>weekly_all_cause_deaths_council_area[[#This Row],[North Lanarkshire]]+weekly_all_cause_deaths_council_area[[#This Row],[South Lanarkshire]]</f>
        <v>183</v>
      </c>
      <c r="N52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194</v>
      </c>
      <c r="O52" s="60">
        <f>weekly_all_cause_deaths_council_area[[#This Row],[Orkney Islands]]</f>
        <v>8</v>
      </c>
      <c r="P52" s="60">
        <f>weekly_all_cause_deaths_council_area[[#This Row],[Shetland Islands]]</f>
        <v>2</v>
      </c>
      <c r="Q52" s="60">
        <f>weekly_all_cause_deaths_council_area[[#This Row],[Angus]]+weekly_all_cause_deaths_council_area[[#This Row],[Dundee City]]+weekly_all_cause_deaths_council_area[[#This Row],[Perth and Kinross]]</f>
        <v>102</v>
      </c>
      <c r="R52" s="60">
        <f>weekly_all_cause_deaths_council_area[[#This Row],[Na h-Eileanan Siar]]</f>
        <v>7</v>
      </c>
    </row>
    <row r="53" spans="1:18" ht="16.149999999999999" customHeight="1" x14ac:dyDescent="0.35">
      <c r="A53" s="14" t="s">
        <v>85</v>
      </c>
      <c r="B53" s="15">
        <v>48</v>
      </c>
      <c r="C53" s="16">
        <v>44158</v>
      </c>
      <c r="D53" s="21">
        <f>SUM(weekly_all_cause_deaths_health_board[[#This Row],[Ayrshire and Arran]:[Western Isles]])</f>
        <v>1329</v>
      </c>
      <c r="E53" s="52">
        <f>weekly_all_cause_deaths_council_area[[#This Row],[East Ayrshire]]+weekly_all_cause_deaths_council_area[[#This Row],[North Ayrshire]]+weekly_all_cause_deaths_council_area[[#This Row],[South Ayrshire]]</f>
        <v>127</v>
      </c>
      <c r="F53" s="52">
        <f>weekly_all_cause_deaths_council_area[[#This Row],[Scottish Borders ]]</f>
        <v>28</v>
      </c>
      <c r="G53" s="52">
        <f>weekly_all_cause_deaths_council_area[[#This Row],[Dumfries and Galloway]]</f>
        <v>39</v>
      </c>
      <c r="H53" s="52">
        <f>weekly_all_cause_deaths_council_area[[#This Row],[Fife]]</f>
        <v>92</v>
      </c>
      <c r="I53" s="52">
        <f>weekly_all_cause_deaths_council_area[[#This Row],[Clackmannanshire]]+weekly_all_cause_deaths_council_area[[#This Row],[Falkirk]]+weekly_all_cause_deaths_council_area[[#This Row],[Stirling]]</f>
        <v>72</v>
      </c>
      <c r="J53" s="52">
        <f>weekly_all_cause_deaths_council_area[[#This Row],[Aberdeen City]]+weekly_all_cause_deaths_council_area[[#This Row],[Aberdeenshire]]+weekly_all_cause_deaths_council_area[[#This Row],[Moray]]</f>
        <v>91</v>
      </c>
      <c r="K53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301</v>
      </c>
      <c r="L53" s="52">
        <f>weekly_all_cause_deaths_council_area[[#This Row],[Argyll and Bute]]+weekly_all_cause_deaths_council_area[[#This Row],[Highland]]</f>
        <v>64</v>
      </c>
      <c r="M53" s="52">
        <f>weekly_all_cause_deaths_council_area[[#This Row],[North Lanarkshire]]+weekly_all_cause_deaths_council_area[[#This Row],[South Lanarkshire]]</f>
        <v>214</v>
      </c>
      <c r="N53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171</v>
      </c>
      <c r="O53" s="60">
        <f>weekly_all_cause_deaths_council_area[[#This Row],[Orkney Islands]]</f>
        <v>7</v>
      </c>
      <c r="P53" s="60">
        <f>weekly_all_cause_deaths_council_area[[#This Row],[Shetland Islands]]</f>
        <v>4</v>
      </c>
      <c r="Q53" s="60">
        <f>weekly_all_cause_deaths_council_area[[#This Row],[Angus]]+weekly_all_cause_deaths_council_area[[#This Row],[Dundee City]]+weekly_all_cause_deaths_council_area[[#This Row],[Perth and Kinross]]</f>
        <v>107</v>
      </c>
      <c r="R53" s="60">
        <f>weekly_all_cause_deaths_council_area[[#This Row],[Na h-Eileanan Siar]]</f>
        <v>12</v>
      </c>
    </row>
    <row r="54" spans="1:18" ht="16.149999999999999" customHeight="1" x14ac:dyDescent="0.35">
      <c r="A54" s="14" t="s">
        <v>85</v>
      </c>
      <c r="B54" s="15">
        <v>49</v>
      </c>
      <c r="C54" s="16">
        <v>44165</v>
      </c>
      <c r="D54" s="21">
        <f>SUM(weekly_all_cause_deaths_health_board[[#This Row],[Ayrshire and Arran]:[Western Isles]])</f>
        <v>1296</v>
      </c>
      <c r="E54" s="52">
        <f>weekly_all_cause_deaths_council_area[[#This Row],[East Ayrshire]]+weekly_all_cause_deaths_council_area[[#This Row],[North Ayrshire]]+weekly_all_cause_deaths_council_area[[#This Row],[South Ayrshire]]</f>
        <v>116</v>
      </c>
      <c r="F54" s="52">
        <f>weekly_all_cause_deaths_council_area[[#This Row],[Scottish Borders ]]</f>
        <v>19</v>
      </c>
      <c r="G54" s="52">
        <f>weekly_all_cause_deaths_council_area[[#This Row],[Dumfries and Galloway]]</f>
        <v>39</v>
      </c>
      <c r="H54" s="52">
        <f>weekly_all_cause_deaths_council_area[[#This Row],[Fife]]</f>
        <v>86</v>
      </c>
      <c r="I54" s="52">
        <f>weekly_all_cause_deaths_council_area[[#This Row],[Clackmannanshire]]+weekly_all_cause_deaths_council_area[[#This Row],[Falkirk]]+weekly_all_cause_deaths_council_area[[#This Row],[Stirling]]</f>
        <v>65</v>
      </c>
      <c r="J54" s="52">
        <f>weekly_all_cause_deaths_council_area[[#This Row],[Aberdeen City]]+weekly_all_cause_deaths_council_area[[#This Row],[Aberdeenshire]]+weekly_all_cause_deaths_council_area[[#This Row],[Moray]]</f>
        <v>112</v>
      </c>
      <c r="K54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313</v>
      </c>
      <c r="L54" s="52">
        <f>weekly_all_cause_deaths_council_area[[#This Row],[Argyll and Bute]]+weekly_all_cause_deaths_council_area[[#This Row],[Highland]]</f>
        <v>69</v>
      </c>
      <c r="M54" s="52">
        <f>weekly_all_cause_deaths_council_area[[#This Row],[North Lanarkshire]]+weekly_all_cause_deaths_council_area[[#This Row],[South Lanarkshire]]</f>
        <v>183</v>
      </c>
      <c r="N54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177</v>
      </c>
      <c r="O54" s="60">
        <f>weekly_all_cause_deaths_council_area[[#This Row],[Orkney Islands]]</f>
        <v>6</v>
      </c>
      <c r="P54" s="60">
        <f>weekly_all_cause_deaths_council_area[[#This Row],[Shetland Islands]]</f>
        <v>4</v>
      </c>
      <c r="Q54" s="60">
        <f>weekly_all_cause_deaths_council_area[[#This Row],[Angus]]+weekly_all_cause_deaths_council_area[[#This Row],[Dundee City]]+weekly_all_cause_deaths_council_area[[#This Row],[Perth and Kinross]]</f>
        <v>100</v>
      </c>
      <c r="R54" s="60">
        <f>weekly_all_cause_deaths_council_area[[#This Row],[Na h-Eileanan Siar]]</f>
        <v>7</v>
      </c>
    </row>
    <row r="55" spans="1:18" ht="16.149999999999999" customHeight="1" x14ac:dyDescent="0.35">
      <c r="A55" s="14" t="s">
        <v>85</v>
      </c>
      <c r="B55" s="15">
        <v>50</v>
      </c>
      <c r="C55" s="16">
        <v>44172</v>
      </c>
      <c r="D55" s="21">
        <f>SUM(weekly_all_cause_deaths_health_board[[#This Row],[Ayrshire and Arran]:[Western Isles]])</f>
        <v>1284</v>
      </c>
      <c r="E55" s="52">
        <f>weekly_all_cause_deaths_council_area[[#This Row],[East Ayrshire]]+weekly_all_cause_deaths_council_area[[#This Row],[North Ayrshire]]+weekly_all_cause_deaths_council_area[[#This Row],[South Ayrshire]]</f>
        <v>91</v>
      </c>
      <c r="F55" s="52">
        <f>weekly_all_cause_deaths_council_area[[#This Row],[Scottish Borders ]]</f>
        <v>21</v>
      </c>
      <c r="G55" s="52">
        <f>weekly_all_cause_deaths_council_area[[#This Row],[Dumfries and Galloway]]</f>
        <v>38</v>
      </c>
      <c r="H55" s="52">
        <f>weekly_all_cause_deaths_council_area[[#This Row],[Fife]]</f>
        <v>112</v>
      </c>
      <c r="I55" s="52">
        <f>weekly_all_cause_deaths_council_area[[#This Row],[Clackmannanshire]]+weekly_all_cause_deaths_council_area[[#This Row],[Falkirk]]+weekly_all_cause_deaths_council_area[[#This Row],[Stirling]]</f>
        <v>64</v>
      </c>
      <c r="J55" s="52">
        <f>weekly_all_cause_deaths_council_area[[#This Row],[Aberdeen City]]+weekly_all_cause_deaths_council_area[[#This Row],[Aberdeenshire]]+weekly_all_cause_deaths_council_area[[#This Row],[Moray]]</f>
        <v>120</v>
      </c>
      <c r="K55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268</v>
      </c>
      <c r="L55" s="52">
        <f>weekly_all_cause_deaths_council_area[[#This Row],[Argyll and Bute]]+weekly_all_cause_deaths_council_area[[#This Row],[Highland]]</f>
        <v>87</v>
      </c>
      <c r="M55" s="52">
        <f>weekly_all_cause_deaths_council_area[[#This Row],[North Lanarkshire]]+weekly_all_cause_deaths_council_area[[#This Row],[South Lanarkshire]]</f>
        <v>191</v>
      </c>
      <c r="N55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166</v>
      </c>
      <c r="O55" s="60">
        <f>weekly_all_cause_deaths_council_area[[#This Row],[Orkney Islands]]</f>
        <v>4</v>
      </c>
      <c r="P55" s="60">
        <f>weekly_all_cause_deaths_council_area[[#This Row],[Shetland Islands]]</f>
        <v>1</v>
      </c>
      <c r="Q55" s="60">
        <f>weekly_all_cause_deaths_council_area[[#This Row],[Angus]]+weekly_all_cause_deaths_council_area[[#This Row],[Dundee City]]+weekly_all_cause_deaths_council_area[[#This Row],[Perth and Kinross]]</f>
        <v>113</v>
      </c>
      <c r="R55" s="60">
        <f>weekly_all_cause_deaths_council_area[[#This Row],[Na h-Eileanan Siar]]</f>
        <v>8</v>
      </c>
    </row>
    <row r="56" spans="1:18" ht="16.149999999999999" customHeight="1" x14ac:dyDescent="0.35">
      <c r="A56" s="14" t="s">
        <v>85</v>
      </c>
      <c r="B56" s="15">
        <v>51</v>
      </c>
      <c r="C56" s="16">
        <v>44179</v>
      </c>
      <c r="D56" s="21">
        <f>SUM(weekly_all_cause_deaths_health_board[[#This Row],[Ayrshire and Arran]:[Western Isles]])</f>
        <v>1297</v>
      </c>
      <c r="E56" s="52">
        <f>weekly_all_cause_deaths_council_area[[#This Row],[East Ayrshire]]+weekly_all_cause_deaths_council_area[[#This Row],[North Ayrshire]]+weekly_all_cause_deaths_council_area[[#This Row],[South Ayrshire]]</f>
        <v>113</v>
      </c>
      <c r="F56" s="52">
        <f>weekly_all_cause_deaths_council_area[[#This Row],[Scottish Borders ]]</f>
        <v>27</v>
      </c>
      <c r="G56" s="52">
        <f>weekly_all_cause_deaths_council_area[[#This Row],[Dumfries and Galloway]]</f>
        <v>31</v>
      </c>
      <c r="H56" s="52">
        <f>weekly_all_cause_deaths_council_area[[#This Row],[Fife]]</f>
        <v>93</v>
      </c>
      <c r="I56" s="52">
        <f>weekly_all_cause_deaths_council_area[[#This Row],[Clackmannanshire]]+weekly_all_cause_deaths_council_area[[#This Row],[Falkirk]]+weekly_all_cause_deaths_council_area[[#This Row],[Stirling]]</f>
        <v>70</v>
      </c>
      <c r="J56" s="52">
        <f>weekly_all_cause_deaths_council_area[[#This Row],[Aberdeen City]]+weekly_all_cause_deaths_council_area[[#This Row],[Aberdeenshire]]+weekly_all_cause_deaths_council_area[[#This Row],[Moray]]</f>
        <v>115</v>
      </c>
      <c r="K56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282</v>
      </c>
      <c r="L56" s="52">
        <f>weekly_all_cause_deaths_council_area[[#This Row],[Argyll and Bute]]+weekly_all_cause_deaths_council_area[[#This Row],[Highland]]</f>
        <v>82</v>
      </c>
      <c r="M56" s="52">
        <f>weekly_all_cause_deaths_council_area[[#This Row],[North Lanarkshire]]+weekly_all_cause_deaths_council_area[[#This Row],[South Lanarkshire]]</f>
        <v>165</v>
      </c>
      <c r="N56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183</v>
      </c>
      <c r="O56" s="60">
        <f>weekly_all_cause_deaths_council_area[[#This Row],[Orkney Islands]]</f>
        <v>8</v>
      </c>
      <c r="P56" s="60">
        <f>weekly_all_cause_deaths_council_area[[#This Row],[Shetland Islands]]</f>
        <v>7</v>
      </c>
      <c r="Q56" s="60">
        <f>weekly_all_cause_deaths_council_area[[#This Row],[Angus]]+weekly_all_cause_deaths_council_area[[#This Row],[Dundee City]]+weekly_all_cause_deaths_council_area[[#This Row],[Perth and Kinross]]</f>
        <v>115</v>
      </c>
      <c r="R56" s="60">
        <f>weekly_all_cause_deaths_council_area[[#This Row],[Na h-Eileanan Siar]]</f>
        <v>6</v>
      </c>
    </row>
    <row r="57" spans="1:18" ht="16.149999999999999" customHeight="1" x14ac:dyDescent="0.35">
      <c r="A57" s="14" t="s">
        <v>85</v>
      </c>
      <c r="B57" s="15">
        <v>52</v>
      </c>
      <c r="C57" s="16">
        <v>44186</v>
      </c>
      <c r="D57" s="21">
        <f>SUM(weekly_all_cause_deaths_health_board[[#This Row],[Ayrshire and Arran]:[Western Isles]])</f>
        <v>1205</v>
      </c>
      <c r="E57" s="52">
        <f>weekly_all_cause_deaths_council_area[[#This Row],[East Ayrshire]]+weekly_all_cause_deaths_council_area[[#This Row],[North Ayrshire]]+weekly_all_cause_deaths_council_area[[#This Row],[South Ayrshire]]</f>
        <v>110</v>
      </c>
      <c r="F57" s="52">
        <f>weekly_all_cause_deaths_council_area[[#This Row],[Scottish Borders ]]</f>
        <v>24</v>
      </c>
      <c r="G57" s="52">
        <f>weekly_all_cause_deaths_council_area[[#This Row],[Dumfries and Galloway]]</f>
        <v>45</v>
      </c>
      <c r="H57" s="52">
        <f>weekly_all_cause_deaths_council_area[[#This Row],[Fife]]</f>
        <v>85</v>
      </c>
      <c r="I57" s="52">
        <f>weekly_all_cause_deaths_council_area[[#This Row],[Clackmannanshire]]+weekly_all_cause_deaths_council_area[[#This Row],[Falkirk]]+weekly_all_cause_deaths_council_area[[#This Row],[Stirling]]</f>
        <v>75</v>
      </c>
      <c r="J57" s="52">
        <f>weekly_all_cause_deaths_council_area[[#This Row],[Aberdeen City]]+weekly_all_cause_deaths_council_area[[#This Row],[Aberdeenshire]]+weekly_all_cause_deaths_council_area[[#This Row],[Moray]]</f>
        <v>118</v>
      </c>
      <c r="K57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262</v>
      </c>
      <c r="L57" s="52">
        <f>weekly_all_cause_deaths_council_area[[#This Row],[Argyll and Bute]]+weekly_all_cause_deaths_council_area[[#This Row],[Highland]]</f>
        <v>65</v>
      </c>
      <c r="M57" s="52">
        <f>weekly_all_cause_deaths_council_area[[#This Row],[North Lanarkshire]]+weekly_all_cause_deaths_council_area[[#This Row],[South Lanarkshire]]</f>
        <v>156</v>
      </c>
      <c r="N57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154</v>
      </c>
      <c r="O57" s="60">
        <f>weekly_all_cause_deaths_council_area[[#This Row],[Orkney Islands]]</f>
        <v>8</v>
      </c>
      <c r="P57" s="60">
        <f>weekly_all_cause_deaths_council_area[[#This Row],[Shetland Islands]]</f>
        <v>4</v>
      </c>
      <c r="Q57" s="60">
        <f>weekly_all_cause_deaths_council_area[[#This Row],[Angus]]+weekly_all_cause_deaths_council_area[[#This Row],[Dundee City]]+weekly_all_cause_deaths_council_area[[#This Row],[Perth and Kinross]]</f>
        <v>92</v>
      </c>
      <c r="R57" s="60">
        <f>weekly_all_cause_deaths_council_area[[#This Row],[Na h-Eileanan Siar]]</f>
        <v>7</v>
      </c>
    </row>
    <row r="58" spans="1:18" ht="16.149999999999999" customHeight="1" x14ac:dyDescent="0.35">
      <c r="A58" s="11" t="s">
        <v>85</v>
      </c>
      <c r="B58" s="15">
        <v>53</v>
      </c>
      <c r="C58" s="16">
        <v>44193</v>
      </c>
      <c r="D58" s="21">
        <f>SUM(weekly_all_cause_deaths_health_board[[#This Row],[Ayrshire and Arran]:[Western Isles]])</f>
        <v>1178</v>
      </c>
      <c r="E58" s="52">
        <f>weekly_all_cause_deaths_council_area[[#This Row],[East Ayrshire]]+weekly_all_cause_deaths_council_area[[#This Row],[North Ayrshire]]+weekly_all_cause_deaths_council_area[[#This Row],[South Ayrshire]]</f>
        <v>118</v>
      </c>
      <c r="F58" s="52">
        <f>weekly_all_cause_deaths_council_area[[#This Row],[Scottish Borders ]]</f>
        <v>30</v>
      </c>
      <c r="G58" s="52">
        <f>weekly_all_cause_deaths_council_area[[#This Row],[Dumfries and Galloway]]</f>
        <v>51</v>
      </c>
      <c r="H58" s="52">
        <f>weekly_all_cause_deaths_council_area[[#This Row],[Fife]]</f>
        <v>79</v>
      </c>
      <c r="I58" s="52">
        <f>weekly_all_cause_deaths_council_area[[#This Row],[Clackmannanshire]]+weekly_all_cause_deaths_council_area[[#This Row],[Falkirk]]+weekly_all_cause_deaths_council_area[[#This Row],[Stirling]]</f>
        <v>58</v>
      </c>
      <c r="J58" s="52">
        <f>weekly_all_cause_deaths_council_area[[#This Row],[Aberdeen City]]+weekly_all_cause_deaths_council_area[[#This Row],[Aberdeenshire]]+weekly_all_cause_deaths_council_area[[#This Row],[Moray]]</f>
        <v>141</v>
      </c>
      <c r="K58" s="52">
        <f>weekly_all_cause_deaths_council_area[[#This Row],[East Renfrewshire]]+weekly_all_cause_deaths_council_area[[#This Row],[Glasgow City]]+weekly_all_cause_deaths_council_area[[#This Row],[Inverclyde]]+weekly_all_cause_deaths_council_area[[#This Row],[Renfrewshire]]+weekly_all_cause_deaths_council_area[[#This Row],[West Dunbartonshire]]+weekly_all_cause_deaths_council_area[[#This Row],[East Dunbartonshire]]</f>
        <v>229</v>
      </c>
      <c r="L58" s="52">
        <f>weekly_all_cause_deaths_council_area[[#This Row],[Argyll and Bute]]+weekly_all_cause_deaths_council_area[[#This Row],[Highland]]</f>
        <v>62</v>
      </c>
      <c r="M58" s="52">
        <f>weekly_all_cause_deaths_council_area[[#This Row],[North Lanarkshire]]+weekly_all_cause_deaths_council_area[[#This Row],[South Lanarkshire]]</f>
        <v>126</v>
      </c>
      <c r="N58" s="60">
        <f>weekly_all_cause_deaths_council_area[[#This Row],[City of Edinburgh]]+weekly_all_cause_deaths_council_area[[#This Row],[East Lothian]]+weekly_all_cause_deaths_council_area[[#This Row],[Midlothian]]+weekly_all_cause_deaths_council_area[[#This Row],[West Lothian]]</f>
        <v>179</v>
      </c>
      <c r="O58" s="60">
        <f>weekly_all_cause_deaths_council_area[[#This Row],[Orkney Islands]]</f>
        <v>5</v>
      </c>
      <c r="P58" s="60">
        <f>weekly_all_cause_deaths_council_area[[#This Row],[Shetland Islands]]</f>
        <v>3</v>
      </c>
      <c r="Q58" s="60">
        <f>weekly_all_cause_deaths_council_area[[#This Row],[Angus]]+weekly_all_cause_deaths_council_area[[#This Row],[Dundee City]]+weekly_all_cause_deaths_council_area[[#This Row],[Perth and Kinross]]</f>
        <v>92</v>
      </c>
      <c r="R58" s="60">
        <f>weekly_all_cause_deaths_council_area[[#This Row],[Na h-Eileanan Siar]]</f>
        <v>5</v>
      </c>
    </row>
    <row r="59" spans="1:18" x14ac:dyDescent="0.35">
      <c r="A59" s="83" t="s">
        <v>179</v>
      </c>
      <c r="B59" s="84" t="s">
        <v>179</v>
      </c>
      <c r="C59" s="87" t="s">
        <v>179</v>
      </c>
      <c r="D59" s="88">
        <f>SUBTOTAL(109,weekly_all_cause_deaths_health_board[Scotland])</f>
        <v>64823</v>
      </c>
      <c r="E59" s="77">
        <f>SUBTOTAL(109,weekly_all_cause_deaths_health_board[Ayrshire and Arran])</f>
        <v>5300</v>
      </c>
      <c r="F59" s="77">
        <f>SUBTOTAL(109,weekly_all_cause_deaths_health_board[Borders])</f>
        <v>1426</v>
      </c>
      <c r="G59" s="77">
        <f>SUBTOTAL(109,weekly_all_cause_deaths_health_board[Dumfries and Galloway])</f>
        <v>2098</v>
      </c>
      <c r="H59" s="77">
        <f>SUBTOTAL(109,weekly_all_cause_deaths_health_board[Fife])</f>
        <v>4335</v>
      </c>
      <c r="I59" s="77">
        <f>SUBTOTAL(109,weekly_all_cause_deaths_health_board[Forth Valley])</f>
        <v>3642</v>
      </c>
      <c r="J59" s="77">
        <f>SUBTOTAL(109,weekly_all_cause_deaths_health_board[Grampian])</f>
        <v>5970</v>
      </c>
      <c r="K59" s="77">
        <f>SUBTOTAL(109,weekly_all_cause_deaths_health_board[Greater Glasgow and Clyde])</f>
        <v>14635</v>
      </c>
      <c r="L59" s="77">
        <f>SUBTOTAL(109,weekly_all_cause_deaths_health_board[Highland])</f>
        <v>3906</v>
      </c>
      <c r="M59" s="77">
        <f>SUBTOTAL(109,weekly_all_cause_deaths_health_board[Lanarkshire])</f>
        <v>8440</v>
      </c>
      <c r="N59" s="77">
        <f>SUBTOTAL(109,weekly_all_cause_deaths_health_board[Lothian])</f>
        <v>8923</v>
      </c>
      <c r="O59" s="77">
        <f>SUBTOTAL(109,weekly_all_cause_deaths_health_board[Orkney])</f>
        <v>254</v>
      </c>
      <c r="P59" s="77">
        <f>SUBTOTAL(109,weekly_all_cause_deaths_health_board[Shetland])</f>
        <v>210</v>
      </c>
      <c r="Q59" s="77">
        <f>SUBTOTAL(109,weekly_all_cause_deaths_health_board[Tayside])</f>
        <v>5323</v>
      </c>
      <c r="R59" s="78">
        <f>SUBTOTAL(109,weekly_all_cause_deaths_health_board[Western Isles])</f>
        <v>361</v>
      </c>
    </row>
  </sheetData>
  <hyperlinks>
    <hyperlink ref="A4" location="Contents!A1" display="Back to table of contents" xr:uid="{00000000-0004-0000-07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9"/>
  <sheetViews>
    <sheetView zoomScaleNormal="100" workbookViewId="0"/>
  </sheetViews>
  <sheetFormatPr defaultColWidth="9.26953125" defaultRowHeight="15.5" x14ac:dyDescent="0.35"/>
  <cols>
    <col min="1" max="3" width="16.7265625" style="10" customWidth="1"/>
    <col min="4" max="36" width="21.7265625" style="10" customWidth="1"/>
    <col min="37" max="16384" width="9.26953125" style="10"/>
  </cols>
  <sheetData>
    <row r="1" spans="1:36" s="5" customFormat="1" x14ac:dyDescent="0.35">
      <c r="A1" s="4" t="s">
        <v>168</v>
      </c>
    </row>
    <row r="2" spans="1:36" s="5" customFormat="1" x14ac:dyDescent="0.35">
      <c r="A2" s="6" t="s">
        <v>108</v>
      </c>
    </row>
    <row r="3" spans="1:36" s="5" customFormat="1" x14ac:dyDescent="0.35">
      <c r="A3" s="6" t="s">
        <v>49</v>
      </c>
    </row>
    <row r="4" spans="1:36" s="5" customFormat="1" ht="30" customHeight="1" x14ac:dyDescent="0.35">
      <c r="A4" s="63" t="s">
        <v>53</v>
      </c>
    </row>
    <row r="5" spans="1:36" ht="47.15" customHeight="1" thickBot="1" x14ac:dyDescent="0.4">
      <c r="A5" s="12" t="s">
        <v>63</v>
      </c>
      <c r="B5" s="13" t="s">
        <v>57</v>
      </c>
      <c r="C5" s="13" t="s">
        <v>86</v>
      </c>
      <c r="D5" s="8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6" t="s">
        <v>23</v>
      </c>
      <c r="AA5" s="26" t="s">
        <v>24</v>
      </c>
      <c r="AB5" s="26" t="s">
        <v>25</v>
      </c>
      <c r="AC5" s="26" t="s">
        <v>26</v>
      </c>
      <c r="AD5" s="26" t="s">
        <v>27</v>
      </c>
      <c r="AE5" s="26" t="s">
        <v>28</v>
      </c>
      <c r="AF5" s="26" t="s">
        <v>29</v>
      </c>
      <c r="AG5" s="26" t="s">
        <v>30</v>
      </c>
      <c r="AH5" s="26" t="s">
        <v>31</v>
      </c>
      <c r="AI5" s="26" t="s">
        <v>32</v>
      </c>
      <c r="AJ5" s="26" t="s">
        <v>33</v>
      </c>
    </row>
    <row r="6" spans="1:36" ht="30" customHeight="1" x14ac:dyDescent="0.35">
      <c r="A6" s="14" t="s">
        <v>85</v>
      </c>
      <c r="B6" s="15">
        <v>1</v>
      </c>
      <c r="C6" s="16">
        <v>43829</v>
      </c>
      <c r="D6" s="21">
        <f>SUM(weekly_all_cause_deaths_council_area[[#This Row],[Aberdeen City]:[West Lothian]])</f>
        <v>1161</v>
      </c>
      <c r="E6" s="25">
        <v>38</v>
      </c>
      <c r="F6" s="25">
        <v>48</v>
      </c>
      <c r="G6" s="25">
        <v>26</v>
      </c>
      <c r="H6" s="25">
        <v>16</v>
      </c>
      <c r="I6" s="25">
        <v>87</v>
      </c>
      <c r="J6" s="25">
        <v>11</v>
      </c>
      <c r="K6" s="25">
        <v>37</v>
      </c>
      <c r="L6" s="25">
        <v>35</v>
      </c>
      <c r="M6" s="25">
        <v>25</v>
      </c>
      <c r="N6" s="25">
        <v>21</v>
      </c>
      <c r="O6" s="25">
        <v>23</v>
      </c>
      <c r="P6" s="25">
        <v>13</v>
      </c>
      <c r="Q6" s="25">
        <v>45</v>
      </c>
      <c r="R6" s="25">
        <v>70</v>
      </c>
      <c r="S6" s="25">
        <v>123</v>
      </c>
      <c r="T6" s="25">
        <v>59</v>
      </c>
      <c r="U6" s="25">
        <v>25</v>
      </c>
      <c r="V6" s="25">
        <v>20</v>
      </c>
      <c r="W6" s="25">
        <v>27</v>
      </c>
      <c r="X6" s="25">
        <v>9</v>
      </c>
      <c r="Y6" s="25">
        <v>38</v>
      </c>
      <c r="Z6" s="25">
        <v>75</v>
      </c>
      <c r="AA6" s="25">
        <v>1</v>
      </c>
      <c r="AB6" s="25">
        <v>35</v>
      </c>
      <c r="AC6" s="25">
        <v>43</v>
      </c>
      <c r="AD6" s="25">
        <v>20</v>
      </c>
      <c r="AE6" s="25">
        <v>5</v>
      </c>
      <c r="AF6" s="25">
        <v>42</v>
      </c>
      <c r="AG6" s="25">
        <v>63</v>
      </c>
      <c r="AH6" s="25">
        <v>20</v>
      </c>
      <c r="AI6" s="25">
        <v>25</v>
      </c>
      <c r="AJ6" s="25">
        <v>36</v>
      </c>
    </row>
    <row r="7" spans="1:36" ht="16.149999999999999" customHeight="1" x14ac:dyDescent="0.35">
      <c r="A7" s="14" t="s">
        <v>85</v>
      </c>
      <c r="B7" s="15">
        <v>2</v>
      </c>
      <c r="C7" s="16">
        <v>43836</v>
      </c>
      <c r="D7" s="21">
        <f>SUM(weekly_all_cause_deaths_council_area[[#This Row],[Aberdeen City]:[West Lothian]])</f>
        <v>1567</v>
      </c>
      <c r="E7" s="25">
        <v>56</v>
      </c>
      <c r="F7" s="25">
        <v>69</v>
      </c>
      <c r="G7" s="25">
        <v>34</v>
      </c>
      <c r="H7" s="25">
        <v>35</v>
      </c>
      <c r="I7" s="25">
        <v>107</v>
      </c>
      <c r="J7" s="25">
        <v>13</v>
      </c>
      <c r="K7" s="25">
        <v>58</v>
      </c>
      <c r="L7" s="25">
        <v>60</v>
      </c>
      <c r="M7" s="25">
        <v>37</v>
      </c>
      <c r="N7" s="25">
        <v>25</v>
      </c>
      <c r="O7" s="25">
        <v>34</v>
      </c>
      <c r="P7" s="25">
        <v>26</v>
      </c>
      <c r="Q7" s="25">
        <v>61</v>
      </c>
      <c r="R7" s="25">
        <v>96</v>
      </c>
      <c r="S7" s="25">
        <v>189</v>
      </c>
      <c r="T7" s="25">
        <v>60</v>
      </c>
      <c r="U7" s="25">
        <v>24</v>
      </c>
      <c r="V7" s="25">
        <v>20</v>
      </c>
      <c r="W7" s="25">
        <v>23</v>
      </c>
      <c r="X7" s="25">
        <v>8</v>
      </c>
      <c r="Y7" s="25">
        <v>43</v>
      </c>
      <c r="Z7" s="25">
        <v>103</v>
      </c>
      <c r="AA7" s="25">
        <v>5</v>
      </c>
      <c r="AB7" s="25">
        <v>62</v>
      </c>
      <c r="AC7" s="25">
        <v>55</v>
      </c>
      <c r="AD7" s="25">
        <v>41</v>
      </c>
      <c r="AE7" s="25">
        <v>4</v>
      </c>
      <c r="AF7" s="25">
        <v>41</v>
      </c>
      <c r="AG7" s="25">
        <v>91</v>
      </c>
      <c r="AH7" s="25">
        <v>18</v>
      </c>
      <c r="AI7" s="25">
        <v>34</v>
      </c>
      <c r="AJ7" s="25">
        <v>35</v>
      </c>
    </row>
    <row r="8" spans="1:36" ht="16.149999999999999" customHeight="1" x14ac:dyDescent="0.35">
      <c r="A8" s="14" t="s">
        <v>85</v>
      </c>
      <c r="B8" s="15">
        <v>3</v>
      </c>
      <c r="C8" s="16">
        <v>43843</v>
      </c>
      <c r="D8" s="21">
        <f>SUM(weekly_all_cause_deaths_council_area[[#This Row],[Aberdeen City]:[West Lothian]])</f>
        <v>1322</v>
      </c>
      <c r="E8" s="25">
        <v>46</v>
      </c>
      <c r="F8" s="25">
        <v>56</v>
      </c>
      <c r="G8" s="25">
        <v>29</v>
      </c>
      <c r="H8" s="25">
        <v>30</v>
      </c>
      <c r="I8" s="25">
        <v>86</v>
      </c>
      <c r="J8" s="25">
        <v>18</v>
      </c>
      <c r="K8" s="25">
        <v>42</v>
      </c>
      <c r="L8" s="25">
        <v>50</v>
      </c>
      <c r="M8" s="25">
        <v>40</v>
      </c>
      <c r="N8" s="25">
        <v>31</v>
      </c>
      <c r="O8" s="25">
        <v>26</v>
      </c>
      <c r="P8" s="25">
        <v>23</v>
      </c>
      <c r="Q8" s="25">
        <v>36</v>
      </c>
      <c r="R8" s="25">
        <v>96</v>
      </c>
      <c r="S8" s="25">
        <v>143</v>
      </c>
      <c r="T8" s="25">
        <v>64</v>
      </c>
      <c r="U8" s="25">
        <v>28</v>
      </c>
      <c r="V8" s="25">
        <v>14</v>
      </c>
      <c r="W8" s="25">
        <v>20</v>
      </c>
      <c r="X8" s="25">
        <v>10</v>
      </c>
      <c r="Y8" s="25">
        <v>38</v>
      </c>
      <c r="Z8" s="25">
        <v>83</v>
      </c>
      <c r="AA8" s="25">
        <v>2</v>
      </c>
      <c r="AB8" s="25">
        <v>39</v>
      </c>
      <c r="AC8" s="25">
        <v>46</v>
      </c>
      <c r="AD8" s="25">
        <v>38</v>
      </c>
      <c r="AE8" s="25">
        <v>2</v>
      </c>
      <c r="AF8" s="25">
        <v>36</v>
      </c>
      <c r="AG8" s="25">
        <v>82</v>
      </c>
      <c r="AH8" s="25">
        <v>14</v>
      </c>
      <c r="AI8" s="25">
        <v>25</v>
      </c>
      <c r="AJ8" s="25">
        <v>29</v>
      </c>
    </row>
    <row r="9" spans="1:36" ht="16.149999999999999" customHeight="1" x14ac:dyDescent="0.35">
      <c r="A9" s="14" t="s">
        <v>85</v>
      </c>
      <c r="B9" s="15">
        <v>4</v>
      </c>
      <c r="C9" s="16">
        <v>43850</v>
      </c>
      <c r="D9" s="21">
        <f>SUM(weekly_all_cause_deaths_council_area[[#This Row],[Aberdeen City]:[West Lothian]])</f>
        <v>1226</v>
      </c>
      <c r="E9" s="25">
        <v>39</v>
      </c>
      <c r="F9" s="25">
        <v>55</v>
      </c>
      <c r="G9" s="25">
        <v>24</v>
      </c>
      <c r="H9" s="25">
        <v>25</v>
      </c>
      <c r="I9" s="25">
        <v>89</v>
      </c>
      <c r="J9" s="25">
        <v>16</v>
      </c>
      <c r="K9" s="25">
        <v>42</v>
      </c>
      <c r="L9" s="25">
        <v>40</v>
      </c>
      <c r="M9" s="25">
        <v>26</v>
      </c>
      <c r="N9" s="25">
        <v>16</v>
      </c>
      <c r="O9" s="25">
        <v>24</v>
      </c>
      <c r="P9" s="25">
        <v>24</v>
      </c>
      <c r="Q9" s="25">
        <v>40</v>
      </c>
      <c r="R9" s="25">
        <v>96</v>
      </c>
      <c r="S9" s="25">
        <v>114</v>
      </c>
      <c r="T9" s="25">
        <v>52</v>
      </c>
      <c r="U9" s="25">
        <v>18</v>
      </c>
      <c r="V9" s="25">
        <v>19</v>
      </c>
      <c r="W9" s="25">
        <v>23</v>
      </c>
      <c r="X9" s="25">
        <v>10</v>
      </c>
      <c r="Y9" s="25">
        <v>37</v>
      </c>
      <c r="Z9" s="25">
        <v>86</v>
      </c>
      <c r="AA9" s="25">
        <v>4</v>
      </c>
      <c r="AB9" s="25">
        <v>43</v>
      </c>
      <c r="AC9" s="25">
        <v>43</v>
      </c>
      <c r="AD9" s="25">
        <v>29</v>
      </c>
      <c r="AE9" s="25">
        <v>2</v>
      </c>
      <c r="AF9" s="25">
        <v>40</v>
      </c>
      <c r="AG9" s="25">
        <v>75</v>
      </c>
      <c r="AH9" s="25">
        <v>22</v>
      </c>
      <c r="AI9" s="25">
        <v>20</v>
      </c>
      <c r="AJ9" s="25">
        <v>33</v>
      </c>
    </row>
    <row r="10" spans="1:36" ht="16.149999999999999" customHeight="1" x14ac:dyDescent="0.35">
      <c r="A10" s="14" t="s">
        <v>85</v>
      </c>
      <c r="B10" s="15">
        <v>5</v>
      </c>
      <c r="C10" s="16">
        <v>43857</v>
      </c>
      <c r="D10" s="21">
        <f>SUM(weekly_all_cause_deaths_council_area[[#This Row],[Aberdeen City]:[West Lothian]])</f>
        <v>1188</v>
      </c>
      <c r="E10" s="25">
        <v>49</v>
      </c>
      <c r="F10" s="25">
        <v>45</v>
      </c>
      <c r="G10" s="25">
        <v>29</v>
      </c>
      <c r="H10" s="25">
        <v>23</v>
      </c>
      <c r="I10" s="25">
        <v>77</v>
      </c>
      <c r="J10" s="25">
        <v>17</v>
      </c>
      <c r="K10" s="25">
        <v>43</v>
      </c>
      <c r="L10" s="25">
        <v>36</v>
      </c>
      <c r="M10" s="25">
        <v>26</v>
      </c>
      <c r="N10" s="25">
        <v>29</v>
      </c>
      <c r="O10" s="25">
        <v>17</v>
      </c>
      <c r="P10" s="25">
        <v>18</v>
      </c>
      <c r="Q10" s="25">
        <v>29</v>
      </c>
      <c r="R10" s="25">
        <v>79</v>
      </c>
      <c r="S10" s="25">
        <v>139</v>
      </c>
      <c r="T10" s="25">
        <v>59</v>
      </c>
      <c r="U10" s="25">
        <v>23</v>
      </c>
      <c r="V10" s="25">
        <v>20</v>
      </c>
      <c r="W10" s="25">
        <v>15</v>
      </c>
      <c r="X10" s="25">
        <v>10</v>
      </c>
      <c r="Y10" s="25">
        <v>39</v>
      </c>
      <c r="Z10" s="25">
        <v>83</v>
      </c>
      <c r="AA10" s="25">
        <v>2</v>
      </c>
      <c r="AB10" s="25">
        <v>34</v>
      </c>
      <c r="AC10" s="25">
        <v>33</v>
      </c>
      <c r="AD10" s="25">
        <v>27</v>
      </c>
      <c r="AE10" s="25">
        <v>5</v>
      </c>
      <c r="AF10" s="25">
        <v>31</v>
      </c>
      <c r="AG10" s="25">
        <v>68</v>
      </c>
      <c r="AH10" s="25">
        <v>21</v>
      </c>
      <c r="AI10" s="25">
        <v>22</v>
      </c>
      <c r="AJ10" s="25">
        <v>40</v>
      </c>
    </row>
    <row r="11" spans="1:36" ht="16.149999999999999" customHeight="1" x14ac:dyDescent="0.35">
      <c r="A11" s="14" t="s">
        <v>85</v>
      </c>
      <c r="B11" s="15">
        <v>6</v>
      </c>
      <c r="C11" s="16">
        <v>43864</v>
      </c>
      <c r="D11" s="21">
        <f>SUM(weekly_all_cause_deaths_council_area[[#This Row],[Aberdeen City]:[West Lothian]])</f>
        <v>1216</v>
      </c>
      <c r="E11" s="25">
        <v>47</v>
      </c>
      <c r="F11" s="25">
        <v>54</v>
      </c>
      <c r="G11" s="25">
        <v>34</v>
      </c>
      <c r="H11" s="25">
        <v>25</v>
      </c>
      <c r="I11" s="25">
        <v>106</v>
      </c>
      <c r="J11" s="25">
        <v>7</v>
      </c>
      <c r="K11" s="25">
        <v>44</v>
      </c>
      <c r="L11" s="25">
        <v>28</v>
      </c>
      <c r="M11" s="25">
        <v>30</v>
      </c>
      <c r="N11" s="25">
        <v>21</v>
      </c>
      <c r="O11" s="25">
        <v>28</v>
      </c>
      <c r="P11" s="25">
        <v>20</v>
      </c>
      <c r="Q11" s="25">
        <v>31</v>
      </c>
      <c r="R11" s="25">
        <v>81</v>
      </c>
      <c r="S11" s="25">
        <v>130</v>
      </c>
      <c r="T11" s="25">
        <v>44</v>
      </c>
      <c r="U11" s="25">
        <v>23</v>
      </c>
      <c r="V11" s="25">
        <v>17</v>
      </c>
      <c r="W11" s="25">
        <v>30</v>
      </c>
      <c r="X11" s="25">
        <v>11</v>
      </c>
      <c r="Y11" s="25">
        <v>24</v>
      </c>
      <c r="Z11" s="25">
        <v>82</v>
      </c>
      <c r="AA11" s="25">
        <v>5</v>
      </c>
      <c r="AB11" s="25">
        <v>35</v>
      </c>
      <c r="AC11" s="25">
        <v>35</v>
      </c>
      <c r="AD11" s="25">
        <v>24</v>
      </c>
      <c r="AE11" s="25">
        <v>6</v>
      </c>
      <c r="AF11" s="25">
        <v>34</v>
      </c>
      <c r="AG11" s="25">
        <v>87</v>
      </c>
      <c r="AH11" s="25">
        <v>17</v>
      </c>
      <c r="AI11" s="25">
        <v>16</v>
      </c>
      <c r="AJ11" s="25">
        <v>40</v>
      </c>
    </row>
    <row r="12" spans="1:36" ht="16.149999999999999" customHeight="1" x14ac:dyDescent="0.35">
      <c r="A12" s="14" t="s">
        <v>85</v>
      </c>
      <c r="B12" s="15">
        <v>7</v>
      </c>
      <c r="C12" s="16">
        <v>43871</v>
      </c>
      <c r="D12" s="21">
        <f>SUM(weekly_all_cause_deaths_council_area[[#This Row],[Aberdeen City]:[West Lothian]])</f>
        <v>1162</v>
      </c>
      <c r="E12" s="25">
        <v>41</v>
      </c>
      <c r="F12" s="25">
        <v>60</v>
      </c>
      <c r="G12" s="25">
        <v>26</v>
      </c>
      <c r="H12" s="25">
        <v>26</v>
      </c>
      <c r="I12" s="25">
        <v>88</v>
      </c>
      <c r="J12" s="25">
        <v>20</v>
      </c>
      <c r="K12" s="25">
        <v>43</v>
      </c>
      <c r="L12" s="25">
        <v>32</v>
      </c>
      <c r="M12" s="25">
        <v>24</v>
      </c>
      <c r="N12" s="25">
        <v>31</v>
      </c>
      <c r="O12" s="25">
        <v>22</v>
      </c>
      <c r="P12" s="25">
        <v>24</v>
      </c>
      <c r="Q12" s="25">
        <v>32</v>
      </c>
      <c r="R12" s="25">
        <v>80</v>
      </c>
      <c r="S12" s="25">
        <v>111</v>
      </c>
      <c r="T12" s="25">
        <v>42</v>
      </c>
      <c r="U12" s="25">
        <v>20</v>
      </c>
      <c r="V12" s="25">
        <v>17</v>
      </c>
      <c r="W12" s="25">
        <v>18</v>
      </c>
      <c r="X12" s="25">
        <v>3</v>
      </c>
      <c r="Y12" s="25">
        <v>29</v>
      </c>
      <c r="Z12" s="25">
        <v>72</v>
      </c>
      <c r="AA12" s="25">
        <v>3</v>
      </c>
      <c r="AB12" s="25">
        <v>41</v>
      </c>
      <c r="AC12" s="25">
        <v>39</v>
      </c>
      <c r="AD12" s="25">
        <v>25</v>
      </c>
      <c r="AE12" s="25">
        <v>4</v>
      </c>
      <c r="AF12" s="25">
        <v>23</v>
      </c>
      <c r="AG12" s="25">
        <v>85</v>
      </c>
      <c r="AH12" s="25">
        <v>21</v>
      </c>
      <c r="AI12" s="25">
        <v>16</v>
      </c>
      <c r="AJ12" s="25">
        <v>44</v>
      </c>
    </row>
    <row r="13" spans="1:36" ht="16.149999999999999" customHeight="1" x14ac:dyDescent="0.35">
      <c r="A13" s="14" t="s">
        <v>85</v>
      </c>
      <c r="B13" s="15">
        <v>8</v>
      </c>
      <c r="C13" s="16">
        <v>43878</v>
      </c>
      <c r="D13" s="21">
        <f>SUM(weekly_all_cause_deaths_council_area[[#This Row],[Aberdeen City]:[West Lothian]])</f>
        <v>1162</v>
      </c>
      <c r="E13" s="25">
        <v>49</v>
      </c>
      <c r="F13" s="25">
        <v>63</v>
      </c>
      <c r="G13" s="25">
        <v>29</v>
      </c>
      <c r="H13" s="25">
        <v>17</v>
      </c>
      <c r="I13" s="25">
        <v>82</v>
      </c>
      <c r="J13" s="25">
        <v>12</v>
      </c>
      <c r="K13" s="25">
        <v>39</v>
      </c>
      <c r="L13" s="25">
        <v>41</v>
      </c>
      <c r="M13" s="25">
        <v>24</v>
      </c>
      <c r="N13" s="25">
        <v>16</v>
      </c>
      <c r="O13" s="25">
        <v>19</v>
      </c>
      <c r="P13" s="25">
        <v>18</v>
      </c>
      <c r="Q13" s="25">
        <v>35</v>
      </c>
      <c r="R13" s="25">
        <v>88</v>
      </c>
      <c r="S13" s="25">
        <v>119</v>
      </c>
      <c r="T13" s="25">
        <v>49</v>
      </c>
      <c r="U13" s="25">
        <v>20</v>
      </c>
      <c r="V13" s="25">
        <v>17</v>
      </c>
      <c r="W13" s="25">
        <v>19</v>
      </c>
      <c r="X13" s="25">
        <v>8</v>
      </c>
      <c r="Y13" s="25">
        <v>46</v>
      </c>
      <c r="Z13" s="25">
        <v>66</v>
      </c>
      <c r="AA13" s="25">
        <v>1</v>
      </c>
      <c r="AB13" s="25">
        <v>28</v>
      </c>
      <c r="AC13" s="25">
        <v>41</v>
      </c>
      <c r="AD13" s="25">
        <v>23</v>
      </c>
      <c r="AE13" s="25">
        <v>4</v>
      </c>
      <c r="AF13" s="25">
        <v>35</v>
      </c>
      <c r="AG13" s="25">
        <v>78</v>
      </c>
      <c r="AH13" s="25">
        <v>18</v>
      </c>
      <c r="AI13" s="25">
        <v>24</v>
      </c>
      <c r="AJ13" s="25">
        <v>34</v>
      </c>
    </row>
    <row r="14" spans="1:36" ht="16.149999999999999" customHeight="1" x14ac:dyDescent="0.35">
      <c r="A14" s="14" t="s">
        <v>85</v>
      </c>
      <c r="B14" s="15">
        <v>9</v>
      </c>
      <c r="C14" s="16">
        <v>43885</v>
      </c>
      <c r="D14" s="21">
        <f>SUM(weekly_all_cause_deaths_council_area[[#This Row],[Aberdeen City]:[West Lothian]])</f>
        <v>1171</v>
      </c>
      <c r="E14" s="25">
        <v>50</v>
      </c>
      <c r="F14" s="25">
        <v>47</v>
      </c>
      <c r="G14" s="25">
        <v>19</v>
      </c>
      <c r="H14" s="25">
        <v>15</v>
      </c>
      <c r="I14" s="25">
        <v>91</v>
      </c>
      <c r="J14" s="25">
        <v>9</v>
      </c>
      <c r="K14" s="25">
        <v>37</v>
      </c>
      <c r="L14" s="25">
        <v>42</v>
      </c>
      <c r="M14" s="25">
        <v>34</v>
      </c>
      <c r="N14" s="25">
        <v>29</v>
      </c>
      <c r="O14" s="25">
        <v>23</v>
      </c>
      <c r="P14" s="25">
        <v>16</v>
      </c>
      <c r="Q14" s="25">
        <v>31</v>
      </c>
      <c r="R14" s="25">
        <v>79</v>
      </c>
      <c r="S14" s="25">
        <v>126</v>
      </c>
      <c r="T14" s="25">
        <v>63</v>
      </c>
      <c r="U14" s="25">
        <v>26</v>
      </c>
      <c r="V14" s="25">
        <v>21</v>
      </c>
      <c r="W14" s="25">
        <v>14</v>
      </c>
      <c r="X14" s="25">
        <v>10</v>
      </c>
      <c r="Y14" s="25">
        <v>30</v>
      </c>
      <c r="Z14" s="25">
        <v>65</v>
      </c>
      <c r="AA14" s="25">
        <v>4</v>
      </c>
      <c r="AB14" s="25">
        <v>35</v>
      </c>
      <c r="AC14" s="25">
        <v>37</v>
      </c>
      <c r="AD14" s="25">
        <v>35</v>
      </c>
      <c r="AE14" s="25">
        <v>3</v>
      </c>
      <c r="AF14" s="25">
        <v>35</v>
      </c>
      <c r="AG14" s="25">
        <v>71</v>
      </c>
      <c r="AH14" s="25">
        <v>17</v>
      </c>
      <c r="AI14" s="25">
        <v>21</v>
      </c>
      <c r="AJ14" s="25">
        <v>36</v>
      </c>
    </row>
    <row r="15" spans="1:36" ht="16.149999999999999" customHeight="1" x14ac:dyDescent="0.35">
      <c r="A15" s="14" t="s">
        <v>85</v>
      </c>
      <c r="B15" s="15">
        <v>10</v>
      </c>
      <c r="C15" s="16">
        <v>43892</v>
      </c>
      <c r="D15" s="21">
        <f>SUM(weekly_all_cause_deaths_council_area[[#This Row],[Aberdeen City]:[West Lothian]])</f>
        <v>1208</v>
      </c>
      <c r="E15" s="25">
        <v>55</v>
      </c>
      <c r="F15" s="25">
        <v>31</v>
      </c>
      <c r="G15" s="25">
        <v>23</v>
      </c>
      <c r="H15" s="25">
        <v>22</v>
      </c>
      <c r="I15" s="25">
        <v>102</v>
      </c>
      <c r="J15" s="25">
        <v>11</v>
      </c>
      <c r="K15" s="25">
        <v>40</v>
      </c>
      <c r="L15" s="25">
        <v>28</v>
      </c>
      <c r="M15" s="25">
        <v>35</v>
      </c>
      <c r="N15" s="25">
        <v>25</v>
      </c>
      <c r="O15" s="25">
        <v>23</v>
      </c>
      <c r="P15" s="25">
        <v>19</v>
      </c>
      <c r="Q15" s="25">
        <v>48</v>
      </c>
      <c r="R15" s="25">
        <v>79</v>
      </c>
      <c r="S15" s="25">
        <v>154</v>
      </c>
      <c r="T15" s="25">
        <v>48</v>
      </c>
      <c r="U15" s="25">
        <v>21</v>
      </c>
      <c r="V15" s="25">
        <v>13</v>
      </c>
      <c r="W15" s="25">
        <v>20</v>
      </c>
      <c r="X15" s="25">
        <v>6</v>
      </c>
      <c r="Y15" s="25">
        <v>40</v>
      </c>
      <c r="Z15" s="25">
        <v>81</v>
      </c>
      <c r="AA15" s="25">
        <v>5</v>
      </c>
      <c r="AB15" s="25">
        <v>35</v>
      </c>
      <c r="AC15" s="25">
        <v>43</v>
      </c>
      <c r="AD15" s="25">
        <v>32</v>
      </c>
      <c r="AE15" s="25">
        <v>4</v>
      </c>
      <c r="AF15" s="25">
        <v>30</v>
      </c>
      <c r="AG15" s="25">
        <v>70</v>
      </c>
      <c r="AH15" s="25">
        <v>16</v>
      </c>
      <c r="AI15" s="25">
        <v>21</v>
      </c>
      <c r="AJ15" s="25">
        <v>28</v>
      </c>
    </row>
    <row r="16" spans="1:36" ht="16.149999999999999" customHeight="1" x14ac:dyDescent="0.35">
      <c r="A16" s="14" t="s">
        <v>85</v>
      </c>
      <c r="B16" s="15">
        <v>11</v>
      </c>
      <c r="C16" s="16">
        <v>43899</v>
      </c>
      <c r="D16" s="21">
        <f>SUM(weekly_all_cause_deaths_council_area[[#This Row],[Aberdeen City]:[West Lothian]])</f>
        <v>1198</v>
      </c>
      <c r="E16" s="25">
        <v>43</v>
      </c>
      <c r="F16" s="25">
        <v>64</v>
      </c>
      <c r="G16" s="25">
        <v>29</v>
      </c>
      <c r="H16" s="25">
        <v>23</v>
      </c>
      <c r="I16" s="25">
        <v>106</v>
      </c>
      <c r="J16" s="25">
        <v>10</v>
      </c>
      <c r="K16" s="25">
        <v>36</v>
      </c>
      <c r="L16" s="25">
        <v>26</v>
      </c>
      <c r="M16" s="25">
        <v>37</v>
      </c>
      <c r="N16" s="25">
        <v>20</v>
      </c>
      <c r="O16" s="25">
        <v>23</v>
      </c>
      <c r="P16" s="25">
        <v>10</v>
      </c>
      <c r="Q16" s="25">
        <v>28</v>
      </c>
      <c r="R16" s="25">
        <v>80</v>
      </c>
      <c r="S16" s="25">
        <v>136</v>
      </c>
      <c r="T16" s="25">
        <v>55</v>
      </c>
      <c r="U16" s="25">
        <v>15</v>
      </c>
      <c r="V16" s="25">
        <v>13</v>
      </c>
      <c r="W16" s="25">
        <v>21</v>
      </c>
      <c r="X16" s="25">
        <v>11</v>
      </c>
      <c r="Y16" s="25">
        <v>36</v>
      </c>
      <c r="Z16" s="25">
        <v>76</v>
      </c>
      <c r="AA16" s="25">
        <v>6</v>
      </c>
      <c r="AB16" s="25">
        <v>39</v>
      </c>
      <c r="AC16" s="25">
        <v>40</v>
      </c>
      <c r="AD16" s="25">
        <v>29</v>
      </c>
      <c r="AE16" s="25">
        <v>3</v>
      </c>
      <c r="AF16" s="25">
        <v>36</v>
      </c>
      <c r="AG16" s="25">
        <v>67</v>
      </c>
      <c r="AH16" s="25">
        <v>17</v>
      </c>
      <c r="AI16" s="25">
        <v>23</v>
      </c>
      <c r="AJ16" s="25">
        <v>40</v>
      </c>
    </row>
    <row r="17" spans="1:36" ht="16.149999999999999" customHeight="1" x14ac:dyDescent="0.35">
      <c r="A17" s="14" t="s">
        <v>85</v>
      </c>
      <c r="B17" s="15">
        <v>12</v>
      </c>
      <c r="C17" s="16">
        <v>43906</v>
      </c>
      <c r="D17" s="21">
        <f>SUM(weekly_all_cause_deaths_council_area[[#This Row],[Aberdeen City]:[West Lothian]])</f>
        <v>1196</v>
      </c>
      <c r="E17" s="25">
        <v>47</v>
      </c>
      <c r="F17" s="25">
        <v>58</v>
      </c>
      <c r="G17" s="25">
        <v>33</v>
      </c>
      <c r="H17" s="25">
        <v>16</v>
      </c>
      <c r="I17" s="25">
        <v>93</v>
      </c>
      <c r="J17" s="25">
        <v>15</v>
      </c>
      <c r="K17" s="25">
        <v>41</v>
      </c>
      <c r="L17" s="25">
        <v>31</v>
      </c>
      <c r="M17" s="25">
        <v>39</v>
      </c>
      <c r="N17" s="25">
        <v>41</v>
      </c>
      <c r="O17" s="25">
        <v>18</v>
      </c>
      <c r="P17" s="25">
        <v>14</v>
      </c>
      <c r="Q17" s="25">
        <v>31</v>
      </c>
      <c r="R17" s="25">
        <v>70</v>
      </c>
      <c r="S17" s="25">
        <v>117</v>
      </c>
      <c r="T17" s="25">
        <v>56</v>
      </c>
      <c r="U17" s="25">
        <v>23</v>
      </c>
      <c r="V17" s="25">
        <v>19</v>
      </c>
      <c r="W17" s="25">
        <v>27</v>
      </c>
      <c r="X17" s="25">
        <v>5</v>
      </c>
      <c r="Y17" s="25">
        <v>36</v>
      </c>
      <c r="Z17" s="25">
        <v>71</v>
      </c>
      <c r="AA17" s="25">
        <v>7</v>
      </c>
      <c r="AB17" s="25">
        <v>28</v>
      </c>
      <c r="AC17" s="25">
        <v>44</v>
      </c>
      <c r="AD17" s="25">
        <v>36</v>
      </c>
      <c r="AE17" s="25">
        <v>3</v>
      </c>
      <c r="AF17" s="25">
        <v>26</v>
      </c>
      <c r="AG17" s="25">
        <v>67</v>
      </c>
      <c r="AH17" s="25">
        <v>20</v>
      </c>
      <c r="AI17" s="25">
        <v>25</v>
      </c>
      <c r="AJ17" s="25">
        <v>39</v>
      </c>
    </row>
    <row r="18" spans="1:36" ht="16.149999999999999" customHeight="1" x14ac:dyDescent="0.35">
      <c r="A18" s="14" t="s">
        <v>85</v>
      </c>
      <c r="B18" s="15">
        <v>13</v>
      </c>
      <c r="C18" s="16">
        <v>43913</v>
      </c>
      <c r="D18" s="21">
        <f>SUM(weekly_all_cause_deaths_council_area[[#This Row],[Aberdeen City]:[West Lothian]])</f>
        <v>1079</v>
      </c>
      <c r="E18" s="25">
        <v>38</v>
      </c>
      <c r="F18" s="25">
        <v>53</v>
      </c>
      <c r="G18" s="25">
        <v>22</v>
      </c>
      <c r="H18" s="25">
        <v>29</v>
      </c>
      <c r="I18" s="25">
        <v>83</v>
      </c>
      <c r="J18" s="25">
        <v>14</v>
      </c>
      <c r="K18" s="25">
        <v>28</v>
      </c>
      <c r="L18" s="25">
        <v>30</v>
      </c>
      <c r="M18" s="25">
        <v>47</v>
      </c>
      <c r="N18" s="25">
        <v>10</v>
      </c>
      <c r="O18" s="25">
        <v>15</v>
      </c>
      <c r="P18" s="25">
        <v>20</v>
      </c>
      <c r="Q18" s="25">
        <v>48</v>
      </c>
      <c r="R18" s="25">
        <v>98</v>
      </c>
      <c r="S18" s="25">
        <v>77</v>
      </c>
      <c r="T18" s="25">
        <v>41</v>
      </c>
      <c r="U18" s="25">
        <v>13</v>
      </c>
      <c r="V18" s="25">
        <v>16</v>
      </c>
      <c r="W18" s="25">
        <v>21</v>
      </c>
      <c r="X18" s="25">
        <v>5</v>
      </c>
      <c r="Y18" s="25">
        <v>30</v>
      </c>
      <c r="Z18" s="25">
        <v>78</v>
      </c>
      <c r="AA18" s="25">
        <v>8</v>
      </c>
      <c r="AB18" s="25">
        <v>44</v>
      </c>
      <c r="AC18" s="25">
        <v>26</v>
      </c>
      <c r="AD18" s="25">
        <v>23</v>
      </c>
      <c r="AE18" s="25">
        <v>9</v>
      </c>
      <c r="AF18" s="25">
        <v>31</v>
      </c>
      <c r="AG18" s="25">
        <v>59</v>
      </c>
      <c r="AH18" s="25">
        <v>12</v>
      </c>
      <c r="AI18" s="25">
        <v>21</v>
      </c>
      <c r="AJ18" s="25">
        <v>30</v>
      </c>
    </row>
    <row r="19" spans="1:36" ht="16.149999999999999" customHeight="1" x14ac:dyDescent="0.35">
      <c r="A19" s="14" t="s">
        <v>85</v>
      </c>
      <c r="B19" s="15">
        <v>14</v>
      </c>
      <c r="C19" s="16">
        <v>43920</v>
      </c>
      <c r="D19" s="21">
        <f>SUM(weekly_all_cause_deaths_council_area[[#This Row],[Aberdeen City]:[West Lothian]])</f>
        <v>1744</v>
      </c>
      <c r="E19" s="25">
        <v>62</v>
      </c>
      <c r="F19" s="25">
        <v>54</v>
      </c>
      <c r="G19" s="25">
        <v>37</v>
      </c>
      <c r="H19" s="25">
        <v>34</v>
      </c>
      <c r="I19" s="25">
        <v>124</v>
      </c>
      <c r="J19" s="25">
        <v>16</v>
      </c>
      <c r="K19" s="25">
        <v>73</v>
      </c>
      <c r="L19" s="25">
        <v>46</v>
      </c>
      <c r="M19" s="25">
        <v>26</v>
      </c>
      <c r="N19" s="25">
        <v>44</v>
      </c>
      <c r="O19" s="25">
        <v>26</v>
      </c>
      <c r="P19" s="25">
        <v>20</v>
      </c>
      <c r="Q19" s="25">
        <v>48</v>
      </c>
      <c r="R19" s="25">
        <v>82</v>
      </c>
      <c r="S19" s="25">
        <v>234</v>
      </c>
      <c r="T19" s="25">
        <v>68</v>
      </c>
      <c r="U19" s="25">
        <v>63</v>
      </c>
      <c r="V19" s="25">
        <v>33</v>
      </c>
      <c r="W19" s="25">
        <v>25</v>
      </c>
      <c r="X19" s="25">
        <v>6</v>
      </c>
      <c r="Y19" s="25">
        <v>52</v>
      </c>
      <c r="Z19" s="25">
        <v>117</v>
      </c>
      <c r="AA19" s="25">
        <v>9</v>
      </c>
      <c r="AB19" s="25">
        <v>43</v>
      </c>
      <c r="AC19" s="25">
        <v>75</v>
      </c>
      <c r="AD19" s="25">
        <v>42</v>
      </c>
      <c r="AE19" s="25">
        <v>8</v>
      </c>
      <c r="AF19" s="25">
        <v>43</v>
      </c>
      <c r="AG19" s="25">
        <v>114</v>
      </c>
      <c r="AH19" s="25">
        <v>32</v>
      </c>
      <c r="AI19" s="25">
        <v>43</v>
      </c>
      <c r="AJ19" s="25">
        <v>45</v>
      </c>
    </row>
    <row r="20" spans="1:36" ht="16.149999999999999" customHeight="1" x14ac:dyDescent="0.35">
      <c r="A20" s="14" t="s">
        <v>85</v>
      </c>
      <c r="B20" s="15">
        <v>15</v>
      </c>
      <c r="C20" s="16">
        <v>43927</v>
      </c>
      <c r="D20" s="21">
        <f>SUM(weekly_all_cause_deaths_council_area[[#This Row],[Aberdeen City]:[West Lothian]])</f>
        <v>1978</v>
      </c>
      <c r="E20" s="25">
        <v>56</v>
      </c>
      <c r="F20" s="25">
        <v>85</v>
      </c>
      <c r="G20" s="25">
        <v>42</v>
      </c>
      <c r="H20" s="25">
        <v>29</v>
      </c>
      <c r="I20" s="25">
        <v>174</v>
      </c>
      <c r="J20" s="25">
        <v>19</v>
      </c>
      <c r="K20" s="25">
        <v>53</v>
      </c>
      <c r="L20" s="25">
        <v>71</v>
      </c>
      <c r="M20" s="25">
        <v>38</v>
      </c>
      <c r="N20" s="25">
        <v>32</v>
      </c>
      <c r="O20" s="25">
        <v>55</v>
      </c>
      <c r="P20" s="25">
        <v>32</v>
      </c>
      <c r="Q20" s="25">
        <v>57</v>
      </c>
      <c r="R20" s="25">
        <v>109</v>
      </c>
      <c r="S20" s="25">
        <v>257</v>
      </c>
      <c r="T20" s="25">
        <v>71</v>
      </c>
      <c r="U20" s="25">
        <v>64</v>
      </c>
      <c r="V20" s="25">
        <v>33</v>
      </c>
      <c r="W20" s="25">
        <v>17</v>
      </c>
      <c r="X20" s="25">
        <v>8</v>
      </c>
      <c r="Y20" s="25">
        <v>46</v>
      </c>
      <c r="Z20" s="25">
        <v>133</v>
      </c>
      <c r="AA20" s="25">
        <v>11</v>
      </c>
      <c r="AB20" s="25">
        <v>54</v>
      </c>
      <c r="AC20" s="25">
        <v>71</v>
      </c>
      <c r="AD20" s="25">
        <v>37</v>
      </c>
      <c r="AE20" s="25">
        <v>8</v>
      </c>
      <c r="AF20" s="25">
        <v>47</v>
      </c>
      <c r="AG20" s="25">
        <v>141</v>
      </c>
      <c r="AH20" s="25">
        <v>34</v>
      </c>
      <c r="AI20" s="25">
        <v>43</v>
      </c>
      <c r="AJ20" s="25">
        <v>51</v>
      </c>
    </row>
    <row r="21" spans="1:36" ht="16.149999999999999" customHeight="1" x14ac:dyDescent="0.35">
      <c r="A21" s="14" t="s">
        <v>85</v>
      </c>
      <c r="B21" s="15">
        <v>16</v>
      </c>
      <c r="C21" s="16">
        <v>43934</v>
      </c>
      <c r="D21" s="21">
        <f>SUM(weekly_all_cause_deaths_council_area[[#This Row],[Aberdeen City]:[West Lothian]])</f>
        <v>1916</v>
      </c>
      <c r="E21" s="25">
        <v>64</v>
      </c>
      <c r="F21" s="25">
        <v>76</v>
      </c>
      <c r="G21" s="25">
        <v>46</v>
      </c>
      <c r="H21" s="25">
        <v>41</v>
      </c>
      <c r="I21" s="25">
        <v>158</v>
      </c>
      <c r="J21" s="25">
        <v>11</v>
      </c>
      <c r="K21" s="25">
        <v>42</v>
      </c>
      <c r="L21" s="25">
        <v>78</v>
      </c>
      <c r="M21" s="25">
        <v>47</v>
      </c>
      <c r="N21" s="25">
        <v>35</v>
      </c>
      <c r="O21" s="25">
        <v>36</v>
      </c>
      <c r="P21" s="25">
        <v>39</v>
      </c>
      <c r="Q21" s="25">
        <v>47</v>
      </c>
      <c r="R21" s="25">
        <v>113</v>
      </c>
      <c r="S21" s="25">
        <v>224</v>
      </c>
      <c r="T21" s="25">
        <v>66</v>
      </c>
      <c r="U21" s="25">
        <v>62</v>
      </c>
      <c r="V21" s="25">
        <v>34</v>
      </c>
      <c r="W21" s="25">
        <v>29</v>
      </c>
      <c r="X21" s="25">
        <v>8</v>
      </c>
      <c r="Y21" s="25">
        <v>58</v>
      </c>
      <c r="Z21" s="25">
        <v>141</v>
      </c>
      <c r="AA21" s="25">
        <v>4</v>
      </c>
      <c r="AB21" s="25">
        <v>47</v>
      </c>
      <c r="AC21" s="25">
        <v>81</v>
      </c>
      <c r="AD21" s="25">
        <v>31</v>
      </c>
      <c r="AE21" s="25">
        <v>3</v>
      </c>
      <c r="AF21" s="25">
        <v>53</v>
      </c>
      <c r="AG21" s="25">
        <v>131</v>
      </c>
      <c r="AH21" s="25">
        <v>27</v>
      </c>
      <c r="AI21" s="25">
        <v>41</v>
      </c>
      <c r="AJ21" s="25">
        <v>43</v>
      </c>
    </row>
    <row r="22" spans="1:36" ht="16.149999999999999" customHeight="1" x14ac:dyDescent="0.35">
      <c r="A22" s="14" t="s">
        <v>85</v>
      </c>
      <c r="B22" s="15">
        <v>17</v>
      </c>
      <c r="C22" s="16">
        <v>43941</v>
      </c>
      <c r="D22" s="21">
        <f>SUM(weekly_all_cause_deaths_council_area[[#This Row],[Aberdeen City]:[West Lothian]])</f>
        <v>1836</v>
      </c>
      <c r="E22" s="25">
        <v>45</v>
      </c>
      <c r="F22" s="25">
        <v>84</v>
      </c>
      <c r="G22" s="25">
        <v>50</v>
      </c>
      <c r="H22" s="25">
        <v>35</v>
      </c>
      <c r="I22" s="25">
        <v>152</v>
      </c>
      <c r="J22" s="25">
        <v>13</v>
      </c>
      <c r="K22" s="25">
        <v>43</v>
      </c>
      <c r="L22" s="25">
        <v>51</v>
      </c>
      <c r="M22" s="25">
        <v>42</v>
      </c>
      <c r="N22" s="25">
        <v>48</v>
      </c>
      <c r="O22" s="25">
        <v>36</v>
      </c>
      <c r="P22" s="25">
        <v>28</v>
      </c>
      <c r="Q22" s="25">
        <v>61</v>
      </c>
      <c r="R22" s="25">
        <v>102</v>
      </c>
      <c r="S22" s="25">
        <v>271</v>
      </c>
      <c r="T22" s="25">
        <v>59</v>
      </c>
      <c r="U22" s="25">
        <v>43</v>
      </c>
      <c r="V22" s="25">
        <v>29</v>
      </c>
      <c r="W22" s="25">
        <v>18</v>
      </c>
      <c r="X22" s="25">
        <v>10</v>
      </c>
      <c r="Y22" s="25">
        <v>58</v>
      </c>
      <c r="Z22" s="25">
        <v>115</v>
      </c>
      <c r="AA22" s="25">
        <v>6</v>
      </c>
      <c r="AB22" s="25">
        <v>51</v>
      </c>
      <c r="AC22" s="25">
        <v>97</v>
      </c>
      <c r="AD22" s="25">
        <v>30</v>
      </c>
      <c r="AE22" s="25">
        <v>2</v>
      </c>
      <c r="AF22" s="25">
        <v>39</v>
      </c>
      <c r="AG22" s="25">
        <v>123</v>
      </c>
      <c r="AH22" s="25">
        <v>23</v>
      </c>
      <c r="AI22" s="25">
        <v>31</v>
      </c>
      <c r="AJ22" s="25">
        <v>41</v>
      </c>
    </row>
    <row r="23" spans="1:36" ht="16.149999999999999" customHeight="1" x14ac:dyDescent="0.35">
      <c r="A23" s="14" t="s">
        <v>85</v>
      </c>
      <c r="B23" s="15">
        <v>18</v>
      </c>
      <c r="C23" s="16">
        <v>43948</v>
      </c>
      <c r="D23" s="21">
        <f>SUM(weekly_all_cause_deaths_council_area[[#This Row],[Aberdeen City]:[West Lothian]])</f>
        <v>1678</v>
      </c>
      <c r="E23" s="25">
        <v>56</v>
      </c>
      <c r="F23" s="25">
        <v>69</v>
      </c>
      <c r="G23" s="25">
        <v>34</v>
      </c>
      <c r="H23" s="25">
        <v>31</v>
      </c>
      <c r="I23" s="25">
        <v>154</v>
      </c>
      <c r="J23" s="25">
        <v>21</v>
      </c>
      <c r="K23" s="25">
        <v>45</v>
      </c>
      <c r="L23" s="25">
        <v>63</v>
      </c>
      <c r="M23" s="25">
        <v>36</v>
      </c>
      <c r="N23" s="25">
        <v>39</v>
      </c>
      <c r="O23" s="25">
        <v>25</v>
      </c>
      <c r="P23" s="25">
        <v>27</v>
      </c>
      <c r="Q23" s="25">
        <v>63</v>
      </c>
      <c r="R23" s="25">
        <v>110</v>
      </c>
      <c r="S23" s="25">
        <v>191</v>
      </c>
      <c r="T23" s="25">
        <v>47</v>
      </c>
      <c r="U23" s="25">
        <v>36</v>
      </c>
      <c r="V23" s="25">
        <v>50</v>
      </c>
      <c r="W23" s="25">
        <v>14</v>
      </c>
      <c r="X23" s="25">
        <v>5</v>
      </c>
      <c r="Y23" s="25">
        <v>48</v>
      </c>
      <c r="Z23" s="25">
        <v>107</v>
      </c>
      <c r="AA23" s="25">
        <v>3</v>
      </c>
      <c r="AB23" s="25">
        <v>43</v>
      </c>
      <c r="AC23" s="25">
        <v>74</v>
      </c>
      <c r="AD23" s="25">
        <v>27</v>
      </c>
      <c r="AE23" s="25">
        <v>6</v>
      </c>
      <c r="AF23" s="25">
        <v>38</v>
      </c>
      <c r="AG23" s="25">
        <v>100</v>
      </c>
      <c r="AH23" s="25">
        <v>23</v>
      </c>
      <c r="AI23" s="25">
        <v>42</v>
      </c>
      <c r="AJ23" s="25">
        <v>51</v>
      </c>
    </row>
    <row r="24" spans="1:36" ht="16.149999999999999" customHeight="1" x14ac:dyDescent="0.35">
      <c r="A24" s="14" t="s">
        <v>85</v>
      </c>
      <c r="B24" s="15">
        <v>19</v>
      </c>
      <c r="C24" s="16">
        <v>43955</v>
      </c>
      <c r="D24" s="21">
        <f>SUM(weekly_all_cause_deaths_council_area[[#This Row],[Aberdeen City]:[West Lothian]])</f>
        <v>1435</v>
      </c>
      <c r="E24" s="25">
        <v>37</v>
      </c>
      <c r="F24" s="25">
        <v>63</v>
      </c>
      <c r="G24" s="25">
        <v>26</v>
      </c>
      <c r="H24" s="25">
        <v>24</v>
      </c>
      <c r="I24" s="25">
        <v>114</v>
      </c>
      <c r="J24" s="25">
        <v>21</v>
      </c>
      <c r="K24" s="25">
        <v>35</v>
      </c>
      <c r="L24" s="25">
        <v>41</v>
      </c>
      <c r="M24" s="25">
        <v>33</v>
      </c>
      <c r="N24" s="25">
        <v>39</v>
      </c>
      <c r="O24" s="25">
        <v>23</v>
      </c>
      <c r="P24" s="25">
        <v>35</v>
      </c>
      <c r="Q24" s="25">
        <v>54</v>
      </c>
      <c r="R24" s="25">
        <v>91</v>
      </c>
      <c r="S24" s="25">
        <v>162</v>
      </c>
      <c r="T24" s="25">
        <v>59</v>
      </c>
      <c r="U24" s="25">
        <v>27</v>
      </c>
      <c r="V24" s="25">
        <v>28</v>
      </c>
      <c r="W24" s="25">
        <v>28</v>
      </c>
      <c r="X24" s="25">
        <v>2</v>
      </c>
      <c r="Y24" s="25">
        <v>40</v>
      </c>
      <c r="Z24" s="25">
        <v>103</v>
      </c>
      <c r="AA24" s="25">
        <v>2</v>
      </c>
      <c r="AB24" s="25">
        <v>35</v>
      </c>
      <c r="AC24" s="25">
        <v>53</v>
      </c>
      <c r="AD24" s="25">
        <v>24</v>
      </c>
      <c r="AE24" s="25">
        <v>6</v>
      </c>
      <c r="AF24" s="25">
        <v>27</v>
      </c>
      <c r="AG24" s="25">
        <v>104</v>
      </c>
      <c r="AH24" s="25">
        <v>29</v>
      </c>
      <c r="AI24" s="25">
        <v>28</v>
      </c>
      <c r="AJ24" s="25">
        <v>42</v>
      </c>
    </row>
    <row r="25" spans="1:36" ht="16.149999999999999" customHeight="1" x14ac:dyDescent="0.35">
      <c r="A25" s="14" t="s">
        <v>85</v>
      </c>
      <c r="B25" s="15">
        <v>20</v>
      </c>
      <c r="C25" s="16">
        <v>43962</v>
      </c>
      <c r="D25" s="21">
        <f>SUM(weekly_all_cause_deaths_council_area[[#This Row],[Aberdeen City]:[West Lothian]])</f>
        <v>1421</v>
      </c>
      <c r="E25" s="25">
        <v>42</v>
      </c>
      <c r="F25" s="25">
        <v>53</v>
      </c>
      <c r="G25" s="25">
        <v>28</v>
      </c>
      <c r="H25" s="25">
        <v>26</v>
      </c>
      <c r="I25" s="25">
        <v>134</v>
      </c>
      <c r="J25" s="25">
        <v>13</v>
      </c>
      <c r="K25" s="25">
        <v>39</v>
      </c>
      <c r="L25" s="25">
        <v>53</v>
      </c>
      <c r="M25" s="25">
        <v>45</v>
      </c>
      <c r="N25" s="25">
        <v>26</v>
      </c>
      <c r="O25" s="25">
        <v>25</v>
      </c>
      <c r="P25" s="25">
        <v>31</v>
      </c>
      <c r="Q25" s="25">
        <v>48</v>
      </c>
      <c r="R25" s="25">
        <v>81</v>
      </c>
      <c r="S25" s="25">
        <v>172</v>
      </c>
      <c r="T25" s="25">
        <v>57</v>
      </c>
      <c r="U25" s="25">
        <v>23</v>
      </c>
      <c r="V25" s="25">
        <v>21</v>
      </c>
      <c r="W25" s="25">
        <v>15</v>
      </c>
      <c r="X25" s="25">
        <v>4</v>
      </c>
      <c r="Y25" s="25">
        <v>39</v>
      </c>
      <c r="Z25" s="25">
        <v>67</v>
      </c>
      <c r="AA25" s="25">
        <v>5</v>
      </c>
      <c r="AB25" s="25">
        <v>45</v>
      </c>
      <c r="AC25" s="25">
        <v>61</v>
      </c>
      <c r="AD25" s="25">
        <v>28</v>
      </c>
      <c r="AE25" s="25">
        <v>6</v>
      </c>
      <c r="AF25" s="25">
        <v>36</v>
      </c>
      <c r="AG25" s="25">
        <v>101</v>
      </c>
      <c r="AH25" s="25">
        <v>24</v>
      </c>
      <c r="AI25" s="25">
        <v>29</v>
      </c>
      <c r="AJ25" s="25">
        <v>44</v>
      </c>
    </row>
    <row r="26" spans="1:36" ht="16.149999999999999" customHeight="1" x14ac:dyDescent="0.35">
      <c r="A26" s="14" t="s">
        <v>85</v>
      </c>
      <c r="B26" s="15">
        <v>21</v>
      </c>
      <c r="C26" s="16">
        <v>43969</v>
      </c>
      <c r="D26" s="21">
        <f>SUM(weekly_all_cause_deaths_council_area[[#This Row],[Aberdeen City]:[West Lothian]])</f>
        <v>1226</v>
      </c>
      <c r="E26" s="25">
        <v>48</v>
      </c>
      <c r="F26" s="25">
        <v>32</v>
      </c>
      <c r="G26" s="25">
        <v>23</v>
      </c>
      <c r="H26" s="25">
        <v>20</v>
      </c>
      <c r="I26" s="25">
        <v>115</v>
      </c>
      <c r="J26" s="25">
        <v>10</v>
      </c>
      <c r="K26" s="25">
        <v>31</v>
      </c>
      <c r="L26" s="25">
        <v>42</v>
      </c>
      <c r="M26" s="25">
        <v>26</v>
      </c>
      <c r="N26" s="25">
        <v>38</v>
      </c>
      <c r="O26" s="25">
        <v>16</v>
      </c>
      <c r="P26" s="25">
        <v>22</v>
      </c>
      <c r="Q26" s="25">
        <v>39</v>
      </c>
      <c r="R26" s="25">
        <v>67</v>
      </c>
      <c r="S26" s="25">
        <v>151</v>
      </c>
      <c r="T26" s="25">
        <v>53</v>
      </c>
      <c r="U26" s="25">
        <v>26</v>
      </c>
      <c r="V26" s="25">
        <v>20</v>
      </c>
      <c r="W26" s="25">
        <v>17</v>
      </c>
      <c r="X26" s="25">
        <v>5</v>
      </c>
      <c r="Y26" s="25">
        <v>44</v>
      </c>
      <c r="Z26" s="25">
        <v>65</v>
      </c>
      <c r="AA26" s="25">
        <v>8</v>
      </c>
      <c r="AB26" s="25">
        <v>40</v>
      </c>
      <c r="AC26" s="25">
        <v>50</v>
      </c>
      <c r="AD26" s="25">
        <v>32</v>
      </c>
      <c r="AE26" s="25">
        <v>2</v>
      </c>
      <c r="AF26" s="25">
        <v>29</v>
      </c>
      <c r="AG26" s="25">
        <v>86</v>
      </c>
      <c r="AH26" s="25">
        <v>10</v>
      </c>
      <c r="AI26" s="25">
        <v>21</v>
      </c>
      <c r="AJ26" s="25">
        <v>38</v>
      </c>
    </row>
    <row r="27" spans="1:36" ht="16.149999999999999" customHeight="1" x14ac:dyDescent="0.35">
      <c r="A27" s="14" t="s">
        <v>85</v>
      </c>
      <c r="B27" s="15">
        <v>22</v>
      </c>
      <c r="C27" s="16">
        <v>43976</v>
      </c>
      <c r="D27" s="21">
        <f>SUM(weekly_all_cause_deaths_council_area[[#This Row],[Aberdeen City]:[West Lothian]])</f>
        <v>1128</v>
      </c>
      <c r="E27" s="25">
        <v>49</v>
      </c>
      <c r="F27" s="25">
        <v>34</v>
      </c>
      <c r="G27" s="25">
        <v>35</v>
      </c>
      <c r="H27" s="25">
        <v>20</v>
      </c>
      <c r="I27" s="25">
        <v>83</v>
      </c>
      <c r="J27" s="25">
        <v>12</v>
      </c>
      <c r="K27" s="25">
        <v>33</v>
      </c>
      <c r="L27" s="25">
        <v>36</v>
      </c>
      <c r="M27" s="25">
        <v>29</v>
      </c>
      <c r="N27" s="25">
        <v>24</v>
      </c>
      <c r="O27" s="25">
        <v>18</v>
      </c>
      <c r="P27" s="25">
        <v>9</v>
      </c>
      <c r="Q27" s="25">
        <v>28</v>
      </c>
      <c r="R27" s="25">
        <v>90</v>
      </c>
      <c r="S27" s="25">
        <v>127</v>
      </c>
      <c r="T27" s="25">
        <v>54</v>
      </c>
      <c r="U27" s="25">
        <v>21</v>
      </c>
      <c r="V27" s="25">
        <v>14</v>
      </c>
      <c r="W27" s="25">
        <v>27</v>
      </c>
      <c r="X27" s="25">
        <v>7</v>
      </c>
      <c r="Y27" s="25">
        <v>32</v>
      </c>
      <c r="Z27" s="25">
        <v>70</v>
      </c>
      <c r="AA27" s="25">
        <v>5</v>
      </c>
      <c r="AB27" s="25">
        <v>34</v>
      </c>
      <c r="AC27" s="25">
        <v>42</v>
      </c>
      <c r="AD27" s="25">
        <v>18</v>
      </c>
      <c r="AE27" s="25">
        <v>5</v>
      </c>
      <c r="AF27" s="25">
        <v>27</v>
      </c>
      <c r="AG27" s="25">
        <v>72</v>
      </c>
      <c r="AH27" s="25">
        <v>10</v>
      </c>
      <c r="AI27" s="25">
        <v>22</v>
      </c>
      <c r="AJ27" s="25">
        <v>41</v>
      </c>
    </row>
    <row r="28" spans="1:36" ht="16.149999999999999" customHeight="1" x14ac:dyDescent="0.35">
      <c r="A28" s="14" t="s">
        <v>85</v>
      </c>
      <c r="B28" s="15">
        <v>23</v>
      </c>
      <c r="C28" s="16">
        <v>43983</v>
      </c>
      <c r="D28" s="21">
        <f>SUM(weekly_all_cause_deaths_council_area[[#This Row],[Aberdeen City]:[West Lothian]])</f>
        <v>1093</v>
      </c>
      <c r="E28" s="25">
        <v>45</v>
      </c>
      <c r="F28" s="25">
        <v>42</v>
      </c>
      <c r="G28" s="25">
        <v>35</v>
      </c>
      <c r="H28" s="25">
        <v>21</v>
      </c>
      <c r="I28" s="25">
        <v>84</v>
      </c>
      <c r="J28" s="25">
        <v>11</v>
      </c>
      <c r="K28" s="25">
        <v>31</v>
      </c>
      <c r="L28" s="25">
        <v>27</v>
      </c>
      <c r="M28" s="25">
        <v>22</v>
      </c>
      <c r="N28" s="25">
        <v>24</v>
      </c>
      <c r="O28" s="25">
        <v>24</v>
      </c>
      <c r="P28" s="25">
        <v>19</v>
      </c>
      <c r="Q28" s="25">
        <v>41</v>
      </c>
      <c r="R28" s="25">
        <v>71</v>
      </c>
      <c r="S28" s="25">
        <v>109</v>
      </c>
      <c r="T28" s="25">
        <v>52</v>
      </c>
      <c r="U28" s="25">
        <v>25</v>
      </c>
      <c r="V28" s="25">
        <v>17</v>
      </c>
      <c r="W28" s="25">
        <v>24</v>
      </c>
      <c r="X28" s="25">
        <v>5</v>
      </c>
      <c r="Y28" s="25">
        <v>30</v>
      </c>
      <c r="Z28" s="25">
        <v>62</v>
      </c>
      <c r="AA28" s="25">
        <v>8</v>
      </c>
      <c r="AB28" s="25">
        <v>28</v>
      </c>
      <c r="AC28" s="25">
        <v>39</v>
      </c>
      <c r="AD28" s="25">
        <v>33</v>
      </c>
      <c r="AE28" s="25">
        <v>3</v>
      </c>
      <c r="AF28" s="25">
        <v>23</v>
      </c>
      <c r="AG28" s="25">
        <v>72</v>
      </c>
      <c r="AH28" s="25">
        <v>17</v>
      </c>
      <c r="AI28" s="25">
        <v>20</v>
      </c>
      <c r="AJ28" s="25">
        <v>29</v>
      </c>
    </row>
    <row r="29" spans="1:36" ht="16.149999999999999" customHeight="1" x14ac:dyDescent="0.35">
      <c r="A29" s="14" t="s">
        <v>85</v>
      </c>
      <c r="B29" s="15">
        <v>24</v>
      </c>
      <c r="C29" s="16">
        <v>43990</v>
      </c>
      <c r="D29" s="21">
        <f>SUM(weekly_all_cause_deaths_council_area[[#This Row],[Aberdeen City]:[West Lothian]])</f>
        <v>1034</v>
      </c>
      <c r="E29" s="25">
        <v>35</v>
      </c>
      <c r="F29" s="25">
        <v>41</v>
      </c>
      <c r="G29" s="25">
        <v>29</v>
      </c>
      <c r="H29" s="25">
        <v>19</v>
      </c>
      <c r="I29" s="25">
        <v>71</v>
      </c>
      <c r="J29" s="25">
        <v>9</v>
      </c>
      <c r="K29" s="25">
        <v>37</v>
      </c>
      <c r="L29" s="25">
        <v>38</v>
      </c>
      <c r="M29" s="25">
        <v>29</v>
      </c>
      <c r="N29" s="25">
        <v>21</v>
      </c>
      <c r="O29" s="25">
        <v>14</v>
      </c>
      <c r="P29" s="25">
        <v>14</v>
      </c>
      <c r="Q29" s="25">
        <v>36</v>
      </c>
      <c r="R29" s="25">
        <v>51</v>
      </c>
      <c r="S29" s="25">
        <v>119</v>
      </c>
      <c r="T29" s="25">
        <v>48</v>
      </c>
      <c r="U29" s="25">
        <v>22</v>
      </c>
      <c r="V29" s="25">
        <v>13</v>
      </c>
      <c r="W29" s="25">
        <v>19</v>
      </c>
      <c r="X29" s="25">
        <v>10</v>
      </c>
      <c r="Y29" s="25">
        <v>32</v>
      </c>
      <c r="Z29" s="25">
        <v>65</v>
      </c>
      <c r="AA29" s="25">
        <v>2</v>
      </c>
      <c r="AB29" s="25">
        <v>23</v>
      </c>
      <c r="AC29" s="25">
        <v>31</v>
      </c>
      <c r="AD29" s="25">
        <v>27</v>
      </c>
      <c r="AE29" s="25">
        <v>4</v>
      </c>
      <c r="AF29" s="25">
        <v>27</v>
      </c>
      <c r="AG29" s="25">
        <v>64</v>
      </c>
      <c r="AH29" s="25">
        <v>18</v>
      </c>
      <c r="AI29" s="25">
        <v>28</v>
      </c>
      <c r="AJ29" s="25">
        <v>38</v>
      </c>
    </row>
    <row r="30" spans="1:36" ht="16.149999999999999" customHeight="1" x14ac:dyDescent="0.35">
      <c r="A30" s="14" t="s">
        <v>85</v>
      </c>
      <c r="B30" s="15">
        <v>25</v>
      </c>
      <c r="C30" s="16">
        <v>43997</v>
      </c>
      <c r="D30" s="21">
        <f>SUM(weekly_all_cause_deaths_council_area[[#This Row],[Aberdeen City]:[West Lothian]])</f>
        <v>1065</v>
      </c>
      <c r="E30" s="25">
        <v>35</v>
      </c>
      <c r="F30" s="25">
        <v>40</v>
      </c>
      <c r="G30" s="25">
        <v>28</v>
      </c>
      <c r="H30" s="25">
        <v>22</v>
      </c>
      <c r="I30" s="25">
        <v>89</v>
      </c>
      <c r="J30" s="25">
        <v>9</v>
      </c>
      <c r="K30" s="25">
        <v>42</v>
      </c>
      <c r="L30" s="25">
        <v>34</v>
      </c>
      <c r="M30" s="25">
        <v>24</v>
      </c>
      <c r="N30" s="25">
        <v>20</v>
      </c>
      <c r="O30" s="25">
        <v>18</v>
      </c>
      <c r="P30" s="25">
        <v>15</v>
      </c>
      <c r="Q30" s="25">
        <v>27</v>
      </c>
      <c r="R30" s="25">
        <v>63</v>
      </c>
      <c r="S30" s="25">
        <v>103</v>
      </c>
      <c r="T30" s="25">
        <v>44</v>
      </c>
      <c r="U30" s="25">
        <v>23</v>
      </c>
      <c r="V30" s="25">
        <v>20</v>
      </c>
      <c r="W30" s="25">
        <v>20</v>
      </c>
      <c r="X30" s="25">
        <v>8</v>
      </c>
      <c r="Y30" s="25">
        <v>31</v>
      </c>
      <c r="Z30" s="25">
        <v>56</v>
      </c>
      <c r="AA30" s="25">
        <v>5</v>
      </c>
      <c r="AB30" s="25">
        <v>30</v>
      </c>
      <c r="AC30" s="25">
        <v>36</v>
      </c>
      <c r="AD30" s="25">
        <v>29</v>
      </c>
      <c r="AE30" s="25">
        <v>3</v>
      </c>
      <c r="AF30" s="25">
        <v>33</v>
      </c>
      <c r="AG30" s="25">
        <v>81</v>
      </c>
      <c r="AH30" s="25">
        <v>16</v>
      </c>
      <c r="AI30" s="25">
        <v>20</v>
      </c>
      <c r="AJ30" s="25">
        <v>41</v>
      </c>
    </row>
    <row r="31" spans="1:36" ht="16.149999999999999" customHeight="1" x14ac:dyDescent="0.35">
      <c r="A31" s="14" t="s">
        <v>85</v>
      </c>
      <c r="B31" s="15">
        <v>26</v>
      </c>
      <c r="C31" s="16">
        <v>44004</v>
      </c>
      <c r="D31" s="21">
        <f>SUM(weekly_all_cause_deaths_council_area[[#This Row],[Aberdeen City]:[West Lothian]])</f>
        <v>1008</v>
      </c>
      <c r="E31" s="25">
        <v>34</v>
      </c>
      <c r="F31" s="25">
        <v>39</v>
      </c>
      <c r="G31" s="25">
        <v>20</v>
      </c>
      <c r="H31" s="25">
        <v>11</v>
      </c>
      <c r="I31" s="25">
        <v>66</v>
      </c>
      <c r="J31" s="25">
        <v>11</v>
      </c>
      <c r="K31" s="25">
        <v>32</v>
      </c>
      <c r="L31" s="25">
        <v>21</v>
      </c>
      <c r="M31" s="25">
        <v>29</v>
      </c>
      <c r="N31" s="25">
        <v>20</v>
      </c>
      <c r="O31" s="25">
        <v>12</v>
      </c>
      <c r="P31" s="25">
        <v>18</v>
      </c>
      <c r="Q31" s="25">
        <v>40</v>
      </c>
      <c r="R31" s="25">
        <v>72</v>
      </c>
      <c r="S31" s="25">
        <v>122</v>
      </c>
      <c r="T31" s="25">
        <v>43</v>
      </c>
      <c r="U31" s="25">
        <v>22</v>
      </c>
      <c r="V31" s="25">
        <v>17</v>
      </c>
      <c r="W31" s="25">
        <v>24</v>
      </c>
      <c r="X31" s="25">
        <v>6</v>
      </c>
      <c r="Y31" s="25">
        <v>28</v>
      </c>
      <c r="Z31" s="25">
        <v>68</v>
      </c>
      <c r="AA31" s="25">
        <v>4</v>
      </c>
      <c r="AB31" s="25">
        <v>22</v>
      </c>
      <c r="AC31" s="25">
        <v>32</v>
      </c>
      <c r="AD31" s="25">
        <v>21</v>
      </c>
      <c r="AE31" s="25">
        <v>0</v>
      </c>
      <c r="AF31" s="25">
        <v>27</v>
      </c>
      <c r="AG31" s="25">
        <v>80</v>
      </c>
      <c r="AH31" s="25">
        <v>16</v>
      </c>
      <c r="AI31" s="25">
        <v>21</v>
      </c>
      <c r="AJ31" s="25">
        <v>30</v>
      </c>
    </row>
    <row r="32" spans="1:36" ht="16.149999999999999" customHeight="1" x14ac:dyDescent="0.35">
      <c r="A32" s="14" t="s">
        <v>85</v>
      </c>
      <c r="B32" s="15">
        <v>27</v>
      </c>
      <c r="C32" s="16">
        <v>44011</v>
      </c>
      <c r="D32" s="21">
        <f>SUM(weekly_all_cause_deaths_council_area[[#This Row],[Aberdeen City]:[West Lothian]])</f>
        <v>983</v>
      </c>
      <c r="E32" s="25">
        <v>36</v>
      </c>
      <c r="F32" s="25">
        <v>31</v>
      </c>
      <c r="G32" s="25">
        <v>23</v>
      </c>
      <c r="H32" s="25">
        <v>17</v>
      </c>
      <c r="I32" s="25">
        <v>69</v>
      </c>
      <c r="J32" s="25">
        <v>11</v>
      </c>
      <c r="K32" s="25">
        <v>37</v>
      </c>
      <c r="L32" s="25">
        <v>42</v>
      </c>
      <c r="M32" s="25">
        <v>23</v>
      </c>
      <c r="N32" s="25">
        <v>14</v>
      </c>
      <c r="O32" s="25">
        <v>20</v>
      </c>
      <c r="P32" s="25">
        <v>16</v>
      </c>
      <c r="Q32" s="25">
        <v>27</v>
      </c>
      <c r="R32" s="25">
        <v>76</v>
      </c>
      <c r="S32" s="25">
        <v>101</v>
      </c>
      <c r="T32" s="25">
        <v>48</v>
      </c>
      <c r="U32" s="25">
        <v>18</v>
      </c>
      <c r="V32" s="25">
        <v>20</v>
      </c>
      <c r="W32" s="25">
        <v>16</v>
      </c>
      <c r="X32" s="25">
        <v>5</v>
      </c>
      <c r="Y32" s="25">
        <v>26</v>
      </c>
      <c r="Z32" s="25">
        <v>56</v>
      </c>
      <c r="AA32" s="25">
        <v>2</v>
      </c>
      <c r="AB32" s="25">
        <v>36</v>
      </c>
      <c r="AC32" s="25">
        <v>36</v>
      </c>
      <c r="AD32" s="25">
        <v>25</v>
      </c>
      <c r="AE32" s="25">
        <v>4</v>
      </c>
      <c r="AF32" s="25">
        <v>27</v>
      </c>
      <c r="AG32" s="25">
        <v>53</v>
      </c>
      <c r="AH32" s="25">
        <v>15</v>
      </c>
      <c r="AI32" s="25">
        <v>23</v>
      </c>
      <c r="AJ32" s="25">
        <v>30</v>
      </c>
    </row>
    <row r="33" spans="1:36" ht="16.149999999999999" customHeight="1" x14ac:dyDescent="0.35">
      <c r="A33" s="14" t="s">
        <v>85</v>
      </c>
      <c r="B33" s="15">
        <v>28</v>
      </c>
      <c r="C33" s="16">
        <v>44018</v>
      </c>
      <c r="D33" s="21">
        <f>SUM(weekly_all_cause_deaths_council_area[[#This Row],[Aberdeen City]:[West Lothian]])</f>
        <v>977</v>
      </c>
      <c r="E33" s="25">
        <v>44</v>
      </c>
      <c r="F33" s="25">
        <v>49</v>
      </c>
      <c r="G33" s="25">
        <v>23</v>
      </c>
      <c r="H33" s="25">
        <v>12</v>
      </c>
      <c r="I33" s="25">
        <v>55</v>
      </c>
      <c r="J33" s="25">
        <v>7</v>
      </c>
      <c r="K33" s="25">
        <v>37</v>
      </c>
      <c r="L33" s="25">
        <v>33</v>
      </c>
      <c r="M33" s="25">
        <v>29</v>
      </c>
      <c r="N33" s="25">
        <v>14</v>
      </c>
      <c r="O33" s="25">
        <v>27</v>
      </c>
      <c r="P33" s="25">
        <v>21</v>
      </c>
      <c r="Q33" s="25">
        <v>21</v>
      </c>
      <c r="R33" s="25">
        <v>64</v>
      </c>
      <c r="S33" s="25">
        <v>107</v>
      </c>
      <c r="T33" s="25">
        <v>55</v>
      </c>
      <c r="U33" s="25">
        <v>15</v>
      </c>
      <c r="V33" s="25">
        <v>12</v>
      </c>
      <c r="W33" s="25">
        <v>17</v>
      </c>
      <c r="X33" s="25">
        <v>5</v>
      </c>
      <c r="Y33" s="25">
        <v>27</v>
      </c>
      <c r="Z33" s="25">
        <v>67</v>
      </c>
      <c r="AA33" s="25">
        <v>4</v>
      </c>
      <c r="AB33" s="25">
        <v>32</v>
      </c>
      <c r="AC33" s="25">
        <v>26</v>
      </c>
      <c r="AD33" s="25">
        <v>34</v>
      </c>
      <c r="AE33" s="25">
        <v>7</v>
      </c>
      <c r="AF33" s="25">
        <v>27</v>
      </c>
      <c r="AG33" s="25">
        <v>44</v>
      </c>
      <c r="AH33" s="25">
        <v>16</v>
      </c>
      <c r="AI33" s="25">
        <v>15</v>
      </c>
      <c r="AJ33" s="25">
        <v>31</v>
      </c>
    </row>
    <row r="34" spans="1:36" ht="16.149999999999999" customHeight="1" x14ac:dyDescent="0.35">
      <c r="A34" s="14" t="s">
        <v>85</v>
      </c>
      <c r="B34" s="15">
        <v>29</v>
      </c>
      <c r="C34" s="16">
        <v>44025</v>
      </c>
      <c r="D34" s="21">
        <f>SUM(weekly_all_cause_deaths_council_area[[#This Row],[Aberdeen City]:[West Lothian]])</f>
        <v>1033</v>
      </c>
      <c r="E34" s="25">
        <v>32</v>
      </c>
      <c r="F34" s="25">
        <v>43</v>
      </c>
      <c r="G34" s="25">
        <v>24</v>
      </c>
      <c r="H34" s="25">
        <v>26</v>
      </c>
      <c r="I34" s="25">
        <v>61</v>
      </c>
      <c r="J34" s="25">
        <v>13</v>
      </c>
      <c r="K34" s="25">
        <v>31</v>
      </c>
      <c r="L34" s="25">
        <v>37</v>
      </c>
      <c r="M34" s="25">
        <v>25</v>
      </c>
      <c r="N34" s="25">
        <v>21</v>
      </c>
      <c r="O34" s="25">
        <v>18</v>
      </c>
      <c r="P34" s="25">
        <v>11</v>
      </c>
      <c r="Q34" s="25">
        <v>28</v>
      </c>
      <c r="R34" s="25">
        <v>75</v>
      </c>
      <c r="S34" s="25">
        <v>113</v>
      </c>
      <c r="T34" s="25">
        <v>46</v>
      </c>
      <c r="U34" s="25">
        <v>15</v>
      </c>
      <c r="V34" s="25">
        <v>15</v>
      </c>
      <c r="W34" s="25">
        <v>19</v>
      </c>
      <c r="X34" s="25">
        <v>7</v>
      </c>
      <c r="Y34" s="25">
        <v>36</v>
      </c>
      <c r="Z34" s="25">
        <v>63</v>
      </c>
      <c r="AA34" s="25">
        <v>3</v>
      </c>
      <c r="AB34" s="25">
        <v>34</v>
      </c>
      <c r="AC34" s="25">
        <v>44</v>
      </c>
      <c r="AD34" s="25">
        <v>24</v>
      </c>
      <c r="AE34" s="25">
        <v>5</v>
      </c>
      <c r="AF34" s="25">
        <v>31</v>
      </c>
      <c r="AG34" s="25">
        <v>64</v>
      </c>
      <c r="AH34" s="25">
        <v>27</v>
      </c>
      <c r="AI34" s="25">
        <v>16</v>
      </c>
      <c r="AJ34" s="25">
        <v>26</v>
      </c>
    </row>
    <row r="35" spans="1:36" ht="16.149999999999999" customHeight="1" x14ac:dyDescent="0.35">
      <c r="A35" s="14" t="s">
        <v>85</v>
      </c>
      <c r="B35" s="15">
        <v>30</v>
      </c>
      <c r="C35" s="16">
        <v>44032</v>
      </c>
      <c r="D35" s="21">
        <f>SUM(weekly_all_cause_deaths_council_area[[#This Row],[Aberdeen City]:[West Lothian]])</f>
        <v>962</v>
      </c>
      <c r="E35" s="25">
        <v>32</v>
      </c>
      <c r="F35" s="25">
        <v>35</v>
      </c>
      <c r="G35" s="25">
        <v>25</v>
      </c>
      <c r="H35" s="25">
        <v>18</v>
      </c>
      <c r="I35" s="25">
        <v>64</v>
      </c>
      <c r="J35" s="25">
        <v>5</v>
      </c>
      <c r="K35" s="25">
        <v>31</v>
      </c>
      <c r="L35" s="25">
        <v>28</v>
      </c>
      <c r="M35" s="25">
        <v>19</v>
      </c>
      <c r="N35" s="25">
        <v>17</v>
      </c>
      <c r="O35" s="25">
        <v>29</v>
      </c>
      <c r="P35" s="25">
        <v>17</v>
      </c>
      <c r="Q35" s="25">
        <v>34</v>
      </c>
      <c r="R35" s="25">
        <v>63</v>
      </c>
      <c r="S35" s="25">
        <v>101</v>
      </c>
      <c r="T35" s="25">
        <v>38</v>
      </c>
      <c r="U35" s="25">
        <v>24</v>
      </c>
      <c r="V35" s="25">
        <v>12</v>
      </c>
      <c r="W35" s="25">
        <v>20</v>
      </c>
      <c r="X35" s="25">
        <v>5</v>
      </c>
      <c r="Y35" s="25">
        <v>29</v>
      </c>
      <c r="Z35" s="25">
        <v>76</v>
      </c>
      <c r="AA35" s="25">
        <v>4</v>
      </c>
      <c r="AB35" s="25">
        <v>21</v>
      </c>
      <c r="AC35" s="25">
        <v>36</v>
      </c>
      <c r="AD35" s="25">
        <v>30</v>
      </c>
      <c r="AE35" s="25">
        <v>3</v>
      </c>
      <c r="AF35" s="25">
        <v>22</v>
      </c>
      <c r="AG35" s="25">
        <v>60</v>
      </c>
      <c r="AH35" s="25">
        <v>16</v>
      </c>
      <c r="AI35" s="25">
        <v>18</v>
      </c>
      <c r="AJ35" s="25">
        <v>30</v>
      </c>
    </row>
    <row r="36" spans="1:36" ht="16.149999999999999" customHeight="1" x14ac:dyDescent="0.35">
      <c r="A36" s="14" t="s">
        <v>85</v>
      </c>
      <c r="B36" s="15">
        <v>31</v>
      </c>
      <c r="C36" s="16">
        <v>44039</v>
      </c>
      <c r="D36" s="21">
        <f>SUM(weekly_all_cause_deaths_council_area[[#This Row],[Aberdeen City]:[West Lothian]])</f>
        <v>1043</v>
      </c>
      <c r="E36" s="25">
        <v>40</v>
      </c>
      <c r="F36" s="25">
        <v>62</v>
      </c>
      <c r="G36" s="25">
        <v>23</v>
      </c>
      <c r="H36" s="25">
        <v>17</v>
      </c>
      <c r="I36" s="25">
        <v>64</v>
      </c>
      <c r="J36" s="25">
        <v>5</v>
      </c>
      <c r="K36" s="25">
        <v>43</v>
      </c>
      <c r="L36" s="25">
        <v>21</v>
      </c>
      <c r="M36" s="25">
        <v>25</v>
      </c>
      <c r="N36" s="25">
        <v>19</v>
      </c>
      <c r="O36" s="25">
        <v>12</v>
      </c>
      <c r="P36" s="25">
        <v>21</v>
      </c>
      <c r="Q36" s="25">
        <v>42</v>
      </c>
      <c r="R36" s="25">
        <v>94</v>
      </c>
      <c r="S36" s="25">
        <v>117</v>
      </c>
      <c r="T36" s="25">
        <v>42</v>
      </c>
      <c r="U36" s="25">
        <v>19</v>
      </c>
      <c r="V36" s="25">
        <v>15</v>
      </c>
      <c r="W36" s="25">
        <v>20</v>
      </c>
      <c r="X36" s="25">
        <v>7</v>
      </c>
      <c r="Y36" s="25">
        <v>34</v>
      </c>
      <c r="Z36" s="25">
        <v>65</v>
      </c>
      <c r="AA36" s="25">
        <v>4</v>
      </c>
      <c r="AB36" s="25">
        <v>35</v>
      </c>
      <c r="AC36" s="25">
        <v>35</v>
      </c>
      <c r="AD36" s="25">
        <v>19</v>
      </c>
      <c r="AE36" s="25">
        <v>3</v>
      </c>
      <c r="AF36" s="25">
        <v>28</v>
      </c>
      <c r="AG36" s="25">
        <v>63</v>
      </c>
      <c r="AH36" s="25">
        <v>12</v>
      </c>
      <c r="AI36" s="25">
        <v>14</v>
      </c>
      <c r="AJ36" s="25">
        <v>23</v>
      </c>
    </row>
    <row r="37" spans="1:36" ht="16.149999999999999" customHeight="1" x14ac:dyDescent="0.35">
      <c r="A37" s="14" t="s">
        <v>85</v>
      </c>
      <c r="B37" s="15">
        <v>32</v>
      </c>
      <c r="C37" s="16">
        <v>44046</v>
      </c>
      <c r="D37" s="21">
        <f>SUM(weekly_all_cause_deaths_council_area[[#This Row],[Aberdeen City]:[West Lothian]])</f>
        <v>1011</v>
      </c>
      <c r="E37" s="25">
        <v>34</v>
      </c>
      <c r="F37" s="25">
        <v>33</v>
      </c>
      <c r="G37" s="25">
        <v>21</v>
      </c>
      <c r="H37" s="25">
        <v>25</v>
      </c>
      <c r="I37" s="25">
        <v>73</v>
      </c>
      <c r="J37" s="25">
        <v>7</v>
      </c>
      <c r="K37" s="25">
        <v>33</v>
      </c>
      <c r="L37" s="25">
        <v>29</v>
      </c>
      <c r="M37" s="25">
        <v>31</v>
      </c>
      <c r="N37" s="25">
        <v>24</v>
      </c>
      <c r="O37" s="25">
        <v>12</v>
      </c>
      <c r="P37" s="25">
        <v>10</v>
      </c>
      <c r="Q37" s="25">
        <v>30</v>
      </c>
      <c r="R37" s="25">
        <v>75</v>
      </c>
      <c r="S37" s="25">
        <v>112</v>
      </c>
      <c r="T37" s="25">
        <v>61</v>
      </c>
      <c r="U37" s="25">
        <v>19</v>
      </c>
      <c r="V37" s="25">
        <v>16</v>
      </c>
      <c r="W37" s="25">
        <v>24</v>
      </c>
      <c r="X37" s="25">
        <v>7</v>
      </c>
      <c r="Y37" s="25">
        <v>28</v>
      </c>
      <c r="Z37" s="25">
        <v>62</v>
      </c>
      <c r="AA37" s="25">
        <v>3</v>
      </c>
      <c r="AB37" s="25">
        <v>29</v>
      </c>
      <c r="AC37" s="25">
        <v>34</v>
      </c>
      <c r="AD37" s="25">
        <v>26</v>
      </c>
      <c r="AE37" s="25">
        <v>4</v>
      </c>
      <c r="AF37" s="25">
        <v>32</v>
      </c>
      <c r="AG37" s="25">
        <v>67</v>
      </c>
      <c r="AH37" s="25">
        <v>11</v>
      </c>
      <c r="AI37" s="25">
        <v>15</v>
      </c>
      <c r="AJ37" s="25">
        <v>24</v>
      </c>
    </row>
    <row r="38" spans="1:36" ht="16.149999999999999" customHeight="1" x14ac:dyDescent="0.35">
      <c r="A38" s="14" t="s">
        <v>85</v>
      </c>
      <c r="B38" s="15">
        <v>33</v>
      </c>
      <c r="C38" s="16">
        <v>44053</v>
      </c>
      <c r="D38" s="21">
        <f>SUM(weekly_all_cause_deaths_council_area[[#This Row],[Aberdeen City]:[West Lothian]])</f>
        <v>928</v>
      </c>
      <c r="E38" s="25">
        <v>25</v>
      </c>
      <c r="F38" s="25">
        <v>47</v>
      </c>
      <c r="G38" s="25">
        <v>14</v>
      </c>
      <c r="H38" s="25">
        <v>15</v>
      </c>
      <c r="I38" s="25">
        <v>69</v>
      </c>
      <c r="J38" s="25">
        <v>5</v>
      </c>
      <c r="K38" s="25">
        <v>30</v>
      </c>
      <c r="L38" s="25">
        <v>24</v>
      </c>
      <c r="M38" s="25">
        <v>12</v>
      </c>
      <c r="N38" s="25">
        <v>16</v>
      </c>
      <c r="O38" s="25">
        <v>20</v>
      </c>
      <c r="P38" s="25">
        <v>9</v>
      </c>
      <c r="Q38" s="25">
        <v>21</v>
      </c>
      <c r="R38" s="25">
        <v>73</v>
      </c>
      <c r="S38" s="25">
        <v>101</v>
      </c>
      <c r="T38" s="25">
        <v>46</v>
      </c>
      <c r="U38" s="25">
        <v>15</v>
      </c>
      <c r="V38" s="25">
        <v>11</v>
      </c>
      <c r="W38" s="25">
        <v>20</v>
      </c>
      <c r="X38" s="25">
        <v>11</v>
      </c>
      <c r="Y38" s="25">
        <v>30</v>
      </c>
      <c r="Z38" s="25">
        <v>62</v>
      </c>
      <c r="AA38" s="25">
        <v>5</v>
      </c>
      <c r="AB38" s="25">
        <v>29</v>
      </c>
      <c r="AC38" s="25">
        <v>39</v>
      </c>
      <c r="AD38" s="25">
        <v>24</v>
      </c>
      <c r="AE38" s="25">
        <v>1</v>
      </c>
      <c r="AF38" s="25">
        <v>21</v>
      </c>
      <c r="AG38" s="25">
        <v>63</v>
      </c>
      <c r="AH38" s="25">
        <v>15</v>
      </c>
      <c r="AI38" s="25">
        <v>24</v>
      </c>
      <c r="AJ38" s="25">
        <v>31</v>
      </c>
    </row>
    <row r="39" spans="1:36" ht="16.149999999999999" customHeight="1" x14ac:dyDescent="0.35">
      <c r="A39" s="14" t="s">
        <v>85</v>
      </c>
      <c r="B39" s="15">
        <v>34</v>
      </c>
      <c r="C39" s="16">
        <v>44060</v>
      </c>
      <c r="D39" s="21">
        <f>SUM(weekly_all_cause_deaths_council_area[[#This Row],[Aberdeen City]:[West Lothian]])</f>
        <v>1046</v>
      </c>
      <c r="E39" s="25">
        <v>40</v>
      </c>
      <c r="F39" s="25">
        <v>48</v>
      </c>
      <c r="G39" s="25">
        <v>29</v>
      </c>
      <c r="H39" s="25">
        <v>22</v>
      </c>
      <c r="I39" s="25">
        <v>75</v>
      </c>
      <c r="J39" s="25">
        <v>10</v>
      </c>
      <c r="K39" s="25">
        <v>43</v>
      </c>
      <c r="L39" s="25">
        <v>25</v>
      </c>
      <c r="M39" s="25">
        <v>21</v>
      </c>
      <c r="N39" s="25">
        <v>13</v>
      </c>
      <c r="O39" s="25">
        <v>11</v>
      </c>
      <c r="P39" s="25">
        <v>16</v>
      </c>
      <c r="Q39" s="25">
        <v>31</v>
      </c>
      <c r="R39" s="25">
        <v>93</v>
      </c>
      <c r="S39" s="25">
        <v>92</v>
      </c>
      <c r="T39" s="25">
        <v>58</v>
      </c>
      <c r="U39" s="25">
        <v>30</v>
      </c>
      <c r="V39" s="25">
        <v>14</v>
      </c>
      <c r="W39" s="25">
        <v>23</v>
      </c>
      <c r="X39" s="25">
        <v>6</v>
      </c>
      <c r="Y39" s="25">
        <v>33</v>
      </c>
      <c r="Z39" s="25">
        <v>63</v>
      </c>
      <c r="AA39" s="25">
        <v>3</v>
      </c>
      <c r="AB39" s="25">
        <v>27</v>
      </c>
      <c r="AC39" s="25">
        <v>31</v>
      </c>
      <c r="AD39" s="25">
        <v>25</v>
      </c>
      <c r="AE39" s="25">
        <v>2</v>
      </c>
      <c r="AF39" s="25">
        <v>31</v>
      </c>
      <c r="AG39" s="25">
        <v>68</v>
      </c>
      <c r="AH39" s="25">
        <v>13</v>
      </c>
      <c r="AI39" s="25">
        <v>23</v>
      </c>
      <c r="AJ39" s="25">
        <v>27</v>
      </c>
    </row>
    <row r="40" spans="1:36" ht="16.149999999999999" customHeight="1" x14ac:dyDescent="0.35">
      <c r="A40" s="14" t="s">
        <v>85</v>
      </c>
      <c r="B40" s="15">
        <v>35</v>
      </c>
      <c r="C40" s="16">
        <v>44067</v>
      </c>
      <c r="D40" s="21">
        <f>SUM(weekly_all_cause_deaths_council_area[[#This Row],[Aberdeen City]:[West Lothian]])</f>
        <v>1030</v>
      </c>
      <c r="E40" s="25">
        <v>30</v>
      </c>
      <c r="F40" s="25">
        <v>41</v>
      </c>
      <c r="G40" s="25">
        <v>26</v>
      </c>
      <c r="H40" s="25">
        <v>19</v>
      </c>
      <c r="I40" s="25">
        <v>73</v>
      </c>
      <c r="J40" s="25">
        <v>12</v>
      </c>
      <c r="K40" s="25">
        <v>28</v>
      </c>
      <c r="L40" s="25">
        <v>31</v>
      </c>
      <c r="M40" s="25">
        <v>17</v>
      </c>
      <c r="N40" s="25">
        <v>25</v>
      </c>
      <c r="O40" s="25">
        <v>21</v>
      </c>
      <c r="P40" s="25">
        <v>18</v>
      </c>
      <c r="Q40" s="25">
        <v>34</v>
      </c>
      <c r="R40" s="25">
        <v>76</v>
      </c>
      <c r="S40" s="25">
        <v>109</v>
      </c>
      <c r="T40" s="25">
        <v>46</v>
      </c>
      <c r="U40" s="25">
        <v>24</v>
      </c>
      <c r="V40" s="25">
        <v>20</v>
      </c>
      <c r="W40" s="25">
        <v>14</v>
      </c>
      <c r="X40" s="25">
        <v>8</v>
      </c>
      <c r="Y40" s="25">
        <v>18</v>
      </c>
      <c r="Z40" s="25">
        <v>83</v>
      </c>
      <c r="AA40" s="25">
        <v>8</v>
      </c>
      <c r="AB40" s="25">
        <v>27</v>
      </c>
      <c r="AC40" s="25">
        <v>32</v>
      </c>
      <c r="AD40" s="25">
        <v>24</v>
      </c>
      <c r="AE40" s="25">
        <v>3</v>
      </c>
      <c r="AF40" s="25">
        <v>31</v>
      </c>
      <c r="AG40" s="25">
        <v>68</v>
      </c>
      <c r="AH40" s="25">
        <v>18</v>
      </c>
      <c r="AI40" s="25">
        <v>17</v>
      </c>
      <c r="AJ40" s="25">
        <v>29</v>
      </c>
    </row>
    <row r="41" spans="1:36" ht="16.149999999999999" customHeight="1" x14ac:dyDescent="0.35">
      <c r="A41" s="14" t="s">
        <v>85</v>
      </c>
      <c r="B41" s="15">
        <v>36</v>
      </c>
      <c r="C41" s="16">
        <v>44074</v>
      </c>
      <c r="D41" s="21">
        <f>SUM(weekly_all_cause_deaths_council_area[[#This Row],[Aberdeen City]:[West Lothian]])</f>
        <v>1050</v>
      </c>
      <c r="E41" s="25">
        <v>38</v>
      </c>
      <c r="F41" s="25">
        <v>43</v>
      </c>
      <c r="G41" s="25">
        <v>30</v>
      </c>
      <c r="H41" s="25">
        <v>24</v>
      </c>
      <c r="I41" s="25">
        <v>70</v>
      </c>
      <c r="J41" s="25">
        <v>9</v>
      </c>
      <c r="K41" s="25">
        <v>42</v>
      </c>
      <c r="L41" s="25">
        <v>23</v>
      </c>
      <c r="M41" s="25">
        <v>22</v>
      </c>
      <c r="N41" s="25">
        <v>27</v>
      </c>
      <c r="O41" s="25">
        <v>19</v>
      </c>
      <c r="P41" s="25">
        <v>18</v>
      </c>
      <c r="Q41" s="25">
        <v>43</v>
      </c>
      <c r="R41" s="25">
        <v>79</v>
      </c>
      <c r="S41" s="25">
        <v>106</v>
      </c>
      <c r="T41" s="25">
        <v>43</v>
      </c>
      <c r="U41" s="25">
        <v>18</v>
      </c>
      <c r="V41" s="25">
        <v>7</v>
      </c>
      <c r="W41" s="25">
        <v>16</v>
      </c>
      <c r="X41" s="25">
        <v>4</v>
      </c>
      <c r="Y41" s="25">
        <v>33</v>
      </c>
      <c r="Z41" s="25">
        <v>79</v>
      </c>
      <c r="AA41" s="25">
        <v>4</v>
      </c>
      <c r="AB41" s="25">
        <v>32</v>
      </c>
      <c r="AC41" s="25">
        <v>43</v>
      </c>
      <c r="AD41" s="25">
        <v>19</v>
      </c>
      <c r="AE41" s="25">
        <v>6</v>
      </c>
      <c r="AF41" s="25">
        <v>31</v>
      </c>
      <c r="AG41" s="25">
        <v>67</v>
      </c>
      <c r="AH41" s="25">
        <v>11</v>
      </c>
      <c r="AI41" s="25">
        <v>17</v>
      </c>
      <c r="AJ41" s="25">
        <v>27</v>
      </c>
    </row>
    <row r="42" spans="1:36" ht="16.149999999999999" customHeight="1" x14ac:dyDescent="0.35">
      <c r="A42" s="14" t="s">
        <v>85</v>
      </c>
      <c r="B42" s="15">
        <v>37</v>
      </c>
      <c r="C42" s="16">
        <v>44081</v>
      </c>
      <c r="D42" s="21">
        <f>SUM(weekly_all_cause_deaths_council_area[[#This Row],[Aberdeen City]:[West Lothian]])</f>
        <v>1069</v>
      </c>
      <c r="E42" s="25">
        <v>32</v>
      </c>
      <c r="F42" s="25">
        <v>46</v>
      </c>
      <c r="G42" s="25">
        <v>24</v>
      </c>
      <c r="H42" s="25">
        <v>21</v>
      </c>
      <c r="I42" s="25">
        <v>65</v>
      </c>
      <c r="J42" s="25">
        <v>13</v>
      </c>
      <c r="K42" s="25">
        <v>40</v>
      </c>
      <c r="L42" s="25">
        <v>37</v>
      </c>
      <c r="M42" s="25">
        <v>27</v>
      </c>
      <c r="N42" s="25">
        <v>24</v>
      </c>
      <c r="O42" s="25">
        <v>19</v>
      </c>
      <c r="P42" s="25">
        <v>17</v>
      </c>
      <c r="Q42" s="25">
        <v>33</v>
      </c>
      <c r="R42" s="25">
        <v>69</v>
      </c>
      <c r="S42" s="25">
        <v>118</v>
      </c>
      <c r="T42" s="25">
        <v>45</v>
      </c>
      <c r="U42" s="25">
        <v>20</v>
      </c>
      <c r="V42" s="25">
        <v>22</v>
      </c>
      <c r="W42" s="25">
        <v>27</v>
      </c>
      <c r="X42" s="25">
        <v>6</v>
      </c>
      <c r="Y42" s="25">
        <v>27</v>
      </c>
      <c r="Z42" s="25">
        <v>60</v>
      </c>
      <c r="AA42" s="25">
        <v>6</v>
      </c>
      <c r="AB42" s="25">
        <v>38</v>
      </c>
      <c r="AC42" s="25">
        <v>29</v>
      </c>
      <c r="AD42" s="25">
        <v>31</v>
      </c>
      <c r="AE42" s="25">
        <v>6</v>
      </c>
      <c r="AF42" s="25">
        <v>34</v>
      </c>
      <c r="AG42" s="25">
        <v>78</v>
      </c>
      <c r="AH42" s="25">
        <v>17</v>
      </c>
      <c r="AI42" s="25">
        <v>16</v>
      </c>
      <c r="AJ42" s="25">
        <v>22</v>
      </c>
    </row>
    <row r="43" spans="1:36" ht="16.149999999999999" customHeight="1" x14ac:dyDescent="0.35">
      <c r="A43" s="14" t="s">
        <v>85</v>
      </c>
      <c r="B43" s="15">
        <v>38</v>
      </c>
      <c r="C43" s="16">
        <v>44088</v>
      </c>
      <c r="D43" s="21">
        <f>SUM(weekly_all_cause_deaths_council_area[[#This Row],[Aberdeen City]:[West Lothian]])</f>
        <v>952</v>
      </c>
      <c r="E43" s="25">
        <v>43</v>
      </c>
      <c r="F43" s="25">
        <v>46</v>
      </c>
      <c r="G43" s="25">
        <v>11</v>
      </c>
      <c r="H43" s="25">
        <v>19</v>
      </c>
      <c r="I43" s="25">
        <v>63</v>
      </c>
      <c r="J43" s="25">
        <v>14</v>
      </c>
      <c r="K43" s="25">
        <v>38</v>
      </c>
      <c r="L43" s="25">
        <v>33</v>
      </c>
      <c r="M43" s="25">
        <v>16</v>
      </c>
      <c r="N43" s="25">
        <v>21</v>
      </c>
      <c r="O43" s="25">
        <v>14</v>
      </c>
      <c r="P43" s="25">
        <v>13</v>
      </c>
      <c r="Q43" s="25">
        <v>25</v>
      </c>
      <c r="R43" s="25">
        <v>78</v>
      </c>
      <c r="S43" s="25">
        <v>120</v>
      </c>
      <c r="T43" s="25">
        <v>44</v>
      </c>
      <c r="U43" s="25">
        <v>18</v>
      </c>
      <c r="V43" s="25">
        <v>10</v>
      </c>
      <c r="W43" s="25">
        <v>11</v>
      </c>
      <c r="X43" s="25">
        <v>9</v>
      </c>
      <c r="Y43" s="25">
        <v>20</v>
      </c>
      <c r="Z43" s="25">
        <v>65</v>
      </c>
      <c r="AA43" s="25">
        <v>3</v>
      </c>
      <c r="AB43" s="25">
        <v>27</v>
      </c>
      <c r="AC43" s="25">
        <v>28</v>
      </c>
      <c r="AD43" s="25">
        <v>23</v>
      </c>
      <c r="AE43" s="25">
        <v>3</v>
      </c>
      <c r="AF43" s="25">
        <v>22</v>
      </c>
      <c r="AG43" s="25">
        <v>61</v>
      </c>
      <c r="AH43" s="25">
        <v>15</v>
      </c>
      <c r="AI43" s="25">
        <v>18</v>
      </c>
      <c r="AJ43" s="25">
        <v>21</v>
      </c>
    </row>
    <row r="44" spans="1:36" ht="16.149999999999999" customHeight="1" x14ac:dyDescent="0.35">
      <c r="A44" s="14" t="s">
        <v>85</v>
      </c>
      <c r="B44" s="15">
        <v>39</v>
      </c>
      <c r="C44" s="16">
        <v>44095</v>
      </c>
      <c r="D44" s="21">
        <f>SUM(weekly_all_cause_deaths_council_area[[#This Row],[Aberdeen City]:[West Lothian]])</f>
        <v>933</v>
      </c>
      <c r="E44" s="25">
        <v>32</v>
      </c>
      <c r="F44" s="25">
        <v>51</v>
      </c>
      <c r="G44" s="25">
        <v>16</v>
      </c>
      <c r="H44" s="25">
        <v>16</v>
      </c>
      <c r="I44" s="25">
        <v>73</v>
      </c>
      <c r="J44" s="25">
        <v>12</v>
      </c>
      <c r="K44" s="25">
        <v>34</v>
      </c>
      <c r="L44" s="25">
        <v>26</v>
      </c>
      <c r="M44" s="25">
        <v>16</v>
      </c>
      <c r="N44" s="25">
        <v>17</v>
      </c>
      <c r="O44" s="25">
        <v>13</v>
      </c>
      <c r="P44" s="25">
        <v>12</v>
      </c>
      <c r="Q44" s="25">
        <v>29</v>
      </c>
      <c r="R44" s="25">
        <v>69</v>
      </c>
      <c r="S44" s="25">
        <v>97</v>
      </c>
      <c r="T44" s="25">
        <v>35</v>
      </c>
      <c r="U44" s="25">
        <v>14</v>
      </c>
      <c r="V44" s="25">
        <v>7</v>
      </c>
      <c r="W44" s="25">
        <v>17</v>
      </c>
      <c r="X44" s="25">
        <v>5</v>
      </c>
      <c r="Y44" s="25">
        <v>26</v>
      </c>
      <c r="Z44" s="25">
        <v>74</v>
      </c>
      <c r="AA44" s="25">
        <v>5</v>
      </c>
      <c r="AB44" s="25">
        <v>27</v>
      </c>
      <c r="AC44" s="25">
        <v>45</v>
      </c>
      <c r="AD44" s="25">
        <v>23</v>
      </c>
      <c r="AE44" s="25">
        <v>2</v>
      </c>
      <c r="AF44" s="25">
        <v>31</v>
      </c>
      <c r="AG44" s="25">
        <v>52</v>
      </c>
      <c r="AH44" s="25">
        <v>18</v>
      </c>
      <c r="AI44" s="25">
        <v>11</v>
      </c>
      <c r="AJ44" s="25">
        <v>28</v>
      </c>
    </row>
    <row r="45" spans="1:36" ht="16.149999999999999" customHeight="1" x14ac:dyDescent="0.35">
      <c r="A45" s="14" t="s">
        <v>85</v>
      </c>
      <c r="B45" s="15">
        <v>40</v>
      </c>
      <c r="C45" s="16">
        <v>44102</v>
      </c>
      <c r="D45" s="21">
        <f>SUM(weekly_all_cause_deaths_council_area[[#This Row],[Aberdeen City]:[West Lothian]])</f>
        <v>1196</v>
      </c>
      <c r="E45" s="25">
        <v>37</v>
      </c>
      <c r="F45" s="25">
        <v>43</v>
      </c>
      <c r="G45" s="25">
        <v>30</v>
      </c>
      <c r="H45" s="25">
        <v>29</v>
      </c>
      <c r="I45" s="25">
        <v>105</v>
      </c>
      <c r="J45" s="25">
        <v>9</v>
      </c>
      <c r="K45" s="25">
        <v>40</v>
      </c>
      <c r="L45" s="25">
        <v>45</v>
      </c>
      <c r="M45" s="25">
        <v>26</v>
      </c>
      <c r="N45" s="25">
        <v>14</v>
      </c>
      <c r="O45" s="25">
        <v>27</v>
      </c>
      <c r="P45" s="25">
        <v>18</v>
      </c>
      <c r="Q45" s="25">
        <v>43</v>
      </c>
      <c r="R45" s="25">
        <v>86</v>
      </c>
      <c r="S45" s="25">
        <v>131</v>
      </c>
      <c r="T45" s="25">
        <v>48</v>
      </c>
      <c r="U45" s="25">
        <v>19</v>
      </c>
      <c r="V45" s="25">
        <v>15</v>
      </c>
      <c r="W45" s="25">
        <v>22</v>
      </c>
      <c r="X45" s="25">
        <v>3</v>
      </c>
      <c r="Y45" s="25">
        <v>30</v>
      </c>
      <c r="Z45" s="25">
        <v>85</v>
      </c>
      <c r="AA45" s="25">
        <v>3</v>
      </c>
      <c r="AB45" s="25">
        <v>28</v>
      </c>
      <c r="AC45" s="25">
        <v>45</v>
      </c>
      <c r="AD45" s="25">
        <v>30</v>
      </c>
      <c r="AE45" s="25">
        <v>2</v>
      </c>
      <c r="AF45" s="25">
        <v>44</v>
      </c>
      <c r="AG45" s="25">
        <v>69</v>
      </c>
      <c r="AH45" s="25">
        <v>23</v>
      </c>
      <c r="AI45" s="25">
        <v>22</v>
      </c>
      <c r="AJ45" s="25">
        <v>25</v>
      </c>
    </row>
    <row r="46" spans="1:36" ht="16.149999999999999" customHeight="1" x14ac:dyDescent="0.35">
      <c r="A46" s="14" t="s">
        <v>85</v>
      </c>
      <c r="B46" s="15">
        <v>41</v>
      </c>
      <c r="C46" s="16">
        <v>44109</v>
      </c>
      <c r="D46" s="21">
        <f>SUM(weekly_all_cause_deaths_council_area[[#This Row],[Aberdeen City]:[West Lothian]])</f>
        <v>1072</v>
      </c>
      <c r="E46" s="25">
        <v>34</v>
      </c>
      <c r="F46" s="25">
        <v>44</v>
      </c>
      <c r="G46" s="25">
        <v>28</v>
      </c>
      <c r="H46" s="25">
        <v>17</v>
      </c>
      <c r="I46" s="25">
        <v>82</v>
      </c>
      <c r="J46" s="25">
        <v>13</v>
      </c>
      <c r="K46" s="25">
        <v>37</v>
      </c>
      <c r="L46" s="25">
        <v>28</v>
      </c>
      <c r="M46" s="25">
        <v>23</v>
      </c>
      <c r="N46" s="25">
        <v>24</v>
      </c>
      <c r="O46" s="25">
        <v>12</v>
      </c>
      <c r="P46" s="25">
        <v>13</v>
      </c>
      <c r="Q46" s="25">
        <v>33</v>
      </c>
      <c r="R46" s="25">
        <v>81</v>
      </c>
      <c r="S46" s="25">
        <v>127</v>
      </c>
      <c r="T46" s="25">
        <v>40</v>
      </c>
      <c r="U46" s="25">
        <v>12</v>
      </c>
      <c r="V46" s="25">
        <v>15</v>
      </c>
      <c r="W46" s="25">
        <v>23</v>
      </c>
      <c r="X46" s="25">
        <v>7</v>
      </c>
      <c r="Y46" s="25">
        <v>31</v>
      </c>
      <c r="Z46" s="25">
        <v>72</v>
      </c>
      <c r="AA46" s="25">
        <v>6</v>
      </c>
      <c r="AB46" s="25">
        <v>34</v>
      </c>
      <c r="AC46" s="25">
        <v>33</v>
      </c>
      <c r="AD46" s="25">
        <v>23</v>
      </c>
      <c r="AE46" s="25">
        <v>4</v>
      </c>
      <c r="AF46" s="25">
        <v>33</v>
      </c>
      <c r="AG46" s="25">
        <v>69</v>
      </c>
      <c r="AH46" s="25">
        <v>18</v>
      </c>
      <c r="AI46" s="25">
        <v>18</v>
      </c>
      <c r="AJ46" s="25">
        <v>38</v>
      </c>
    </row>
    <row r="47" spans="1:36" ht="16.149999999999999" customHeight="1" x14ac:dyDescent="0.35">
      <c r="A47" s="14" t="s">
        <v>85</v>
      </c>
      <c r="B47" s="15">
        <v>42</v>
      </c>
      <c r="C47" s="16">
        <v>44116</v>
      </c>
      <c r="D47" s="21">
        <f>SUM(weekly_all_cause_deaths_council_area[[#This Row],[Aberdeen City]:[West Lothian]])</f>
        <v>1134</v>
      </c>
      <c r="E47" s="25">
        <v>33</v>
      </c>
      <c r="F47" s="25">
        <v>51</v>
      </c>
      <c r="G47" s="25">
        <v>26</v>
      </c>
      <c r="H47" s="25">
        <v>25</v>
      </c>
      <c r="I47" s="25">
        <v>84</v>
      </c>
      <c r="J47" s="25">
        <v>18</v>
      </c>
      <c r="K47" s="25">
        <v>42</v>
      </c>
      <c r="L47" s="25">
        <v>23</v>
      </c>
      <c r="M47" s="25">
        <v>34</v>
      </c>
      <c r="N47" s="25">
        <v>24</v>
      </c>
      <c r="O47" s="25">
        <v>22</v>
      </c>
      <c r="P47" s="25">
        <v>17</v>
      </c>
      <c r="Q47" s="25">
        <v>40</v>
      </c>
      <c r="R47" s="25">
        <v>69</v>
      </c>
      <c r="S47" s="25">
        <v>122</v>
      </c>
      <c r="T47" s="25">
        <v>45</v>
      </c>
      <c r="U47" s="25">
        <v>14</v>
      </c>
      <c r="V47" s="25">
        <v>19</v>
      </c>
      <c r="W47" s="25">
        <v>21</v>
      </c>
      <c r="X47" s="25">
        <v>6</v>
      </c>
      <c r="Y47" s="25">
        <v>28</v>
      </c>
      <c r="Z47" s="25">
        <v>71</v>
      </c>
      <c r="AA47" s="25">
        <v>2</v>
      </c>
      <c r="AB47" s="25">
        <v>36</v>
      </c>
      <c r="AC47" s="25">
        <v>41</v>
      </c>
      <c r="AD47" s="25">
        <v>17</v>
      </c>
      <c r="AE47" s="25">
        <v>4</v>
      </c>
      <c r="AF47" s="25">
        <v>32</v>
      </c>
      <c r="AG47" s="25">
        <v>71</v>
      </c>
      <c r="AH47" s="25">
        <v>14</v>
      </c>
      <c r="AI47" s="25">
        <v>33</v>
      </c>
      <c r="AJ47" s="25">
        <v>50</v>
      </c>
    </row>
    <row r="48" spans="1:36" ht="16.149999999999999" customHeight="1" x14ac:dyDescent="0.35">
      <c r="A48" s="14" t="s">
        <v>85</v>
      </c>
      <c r="B48" s="15">
        <v>43</v>
      </c>
      <c r="C48" s="16">
        <v>44123</v>
      </c>
      <c r="D48" s="21">
        <f>SUM(weekly_all_cause_deaths_council_area[[#This Row],[Aberdeen City]:[West Lothian]])</f>
        <v>1187</v>
      </c>
      <c r="E48" s="25">
        <v>33</v>
      </c>
      <c r="F48" s="25">
        <v>49</v>
      </c>
      <c r="G48" s="25">
        <v>33</v>
      </c>
      <c r="H48" s="25">
        <v>19</v>
      </c>
      <c r="I48" s="25">
        <v>96</v>
      </c>
      <c r="J48" s="25">
        <v>10</v>
      </c>
      <c r="K48" s="25">
        <v>42</v>
      </c>
      <c r="L48" s="25">
        <v>31</v>
      </c>
      <c r="M48" s="25">
        <v>38</v>
      </c>
      <c r="N48" s="25">
        <v>22</v>
      </c>
      <c r="O48" s="25">
        <v>24</v>
      </c>
      <c r="P48" s="25">
        <v>24</v>
      </c>
      <c r="Q48" s="25">
        <v>42</v>
      </c>
      <c r="R48" s="25">
        <v>73</v>
      </c>
      <c r="S48" s="25">
        <v>146</v>
      </c>
      <c r="T48" s="25">
        <v>61</v>
      </c>
      <c r="U48" s="25">
        <v>16</v>
      </c>
      <c r="V48" s="25">
        <v>15</v>
      </c>
      <c r="W48" s="25">
        <v>18</v>
      </c>
      <c r="X48" s="25">
        <v>3</v>
      </c>
      <c r="Y48" s="25">
        <v>33</v>
      </c>
      <c r="Z48" s="25">
        <v>67</v>
      </c>
      <c r="AA48" s="25">
        <v>3</v>
      </c>
      <c r="AB48" s="25">
        <v>35</v>
      </c>
      <c r="AC48" s="25">
        <v>46</v>
      </c>
      <c r="AD48" s="25">
        <v>25</v>
      </c>
      <c r="AE48" s="25">
        <v>6</v>
      </c>
      <c r="AF48" s="25">
        <v>25</v>
      </c>
      <c r="AG48" s="25">
        <v>81</v>
      </c>
      <c r="AH48" s="25">
        <v>18</v>
      </c>
      <c r="AI48" s="25">
        <v>16</v>
      </c>
      <c r="AJ48" s="25">
        <v>37</v>
      </c>
    </row>
    <row r="49" spans="1:36" ht="16.149999999999999" customHeight="1" x14ac:dyDescent="0.35">
      <c r="A49" s="14" t="s">
        <v>85</v>
      </c>
      <c r="B49" s="15">
        <v>44</v>
      </c>
      <c r="C49" s="16">
        <v>44130</v>
      </c>
      <c r="D49" s="21">
        <f>SUM(weekly_all_cause_deaths_council_area[[#This Row],[Aberdeen City]:[West Lothian]])</f>
        <v>1262</v>
      </c>
      <c r="E49" s="25">
        <v>51</v>
      </c>
      <c r="F49" s="25">
        <v>45</v>
      </c>
      <c r="G49" s="25">
        <v>27</v>
      </c>
      <c r="H49" s="25">
        <v>19</v>
      </c>
      <c r="I49" s="25">
        <v>82</v>
      </c>
      <c r="J49" s="25">
        <v>9</v>
      </c>
      <c r="K49" s="25">
        <v>62</v>
      </c>
      <c r="L49" s="25">
        <v>25</v>
      </c>
      <c r="M49" s="25">
        <v>40</v>
      </c>
      <c r="N49" s="25">
        <v>35</v>
      </c>
      <c r="O49" s="25">
        <v>28</v>
      </c>
      <c r="P49" s="25">
        <v>22</v>
      </c>
      <c r="Q49" s="25">
        <v>27</v>
      </c>
      <c r="R49" s="25">
        <v>70</v>
      </c>
      <c r="S49" s="25">
        <v>152</v>
      </c>
      <c r="T49" s="25">
        <v>43</v>
      </c>
      <c r="U49" s="25">
        <v>19</v>
      </c>
      <c r="V49" s="25">
        <v>19</v>
      </c>
      <c r="W49" s="25">
        <v>15</v>
      </c>
      <c r="X49" s="25">
        <v>7</v>
      </c>
      <c r="Y49" s="25">
        <v>35</v>
      </c>
      <c r="Z49" s="25">
        <v>91</v>
      </c>
      <c r="AA49" s="25">
        <v>5</v>
      </c>
      <c r="AB49" s="25">
        <v>36</v>
      </c>
      <c r="AC49" s="25">
        <v>47</v>
      </c>
      <c r="AD49" s="25">
        <v>19</v>
      </c>
      <c r="AE49" s="25">
        <v>4</v>
      </c>
      <c r="AF49" s="25">
        <v>43</v>
      </c>
      <c r="AG49" s="25">
        <v>92</v>
      </c>
      <c r="AH49" s="25">
        <v>22</v>
      </c>
      <c r="AI49" s="25">
        <v>23</v>
      </c>
      <c r="AJ49" s="25">
        <v>48</v>
      </c>
    </row>
    <row r="50" spans="1:36" ht="16.149999999999999" customHeight="1" x14ac:dyDescent="0.35">
      <c r="A50" s="14" t="s">
        <v>85</v>
      </c>
      <c r="B50" s="15">
        <v>45</v>
      </c>
      <c r="C50" s="16">
        <v>44137</v>
      </c>
      <c r="D50" s="21">
        <f>SUM(weekly_all_cause_deaths_council_area[[#This Row],[Aberdeen City]:[West Lothian]])</f>
        <v>1250</v>
      </c>
      <c r="E50" s="25">
        <v>28</v>
      </c>
      <c r="F50" s="25">
        <v>45</v>
      </c>
      <c r="G50" s="25">
        <v>25</v>
      </c>
      <c r="H50" s="25">
        <v>28</v>
      </c>
      <c r="I50" s="25">
        <v>86</v>
      </c>
      <c r="J50" s="25">
        <v>11</v>
      </c>
      <c r="K50" s="25">
        <v>31</v>
      </c>
      <c r="L50" s="25">
        <v>35</v>
      </c>
      <c r="M50" s="25">
        <v>30</v>
      </c>
      <c r="N50" s="25">
        <v>25</v>
      </c>
      <c r="O50" s="25">
        <v>15</v>
      </c>
      <c r="P50" s="25">
        <v>22</v>
      </c>
      <c r="Q50" s="25">
        <v>39</v>
      </c>
      <c r="R50" s="25">
        <v>79</v>
      </c>
      <c r="S50" s="25">
        <v>199</v>
      </c>
      <c r="T50" s="25">
        <v>45</v>
      </c>
      <c r="U50" s="25">
        <v>21</v>
      </c>
      <c r="V50" s="25">
        <v>12</v>
      </c>
      <c r="W50" s="25">
        <v>20</v>
      </c>
      <c r="X50" s="25">
        <v>6</v>
      </c>
      <c r="Y50" s="25">
        <v>49</v>
      </c>
      <c r="Z50" s="25">
        <v>71</v>
      </c>
      <c r="AA50" s="25">
        <v>4</v>
      </c>
      <c r="AB50" s="25">
        <v>32</v>
      </c>
      <c r="AC50" s="25">
        <v>43</v>
      </c>
      <c r="AD50" s="25">
        <v>30</v>
      </c>
      <c r="AE50" s="25">
        <v>4</v>
      </c>
      <c r="AF50" s="25">
        <v>49</v>
      </c>
      <c r="AG50" s="25">
        <v>81</v>
      </c>
      <c r="AH50" s="25">
        <v>21</v>
      </c>
      <c r="AI50" s="25">
        <v>31</v>
      </c>
      <c r="AJ50" s="25">
        <v>33</v>
      </c>
    </row>
    <row r="51" spans="1:36" ht="16.149999999999999" customHeight="1" x14ac:dyDescent="0.35">
      <c r="A51" s="14" t="s">
        <v>85</v>
      </c>
      <c r="B51" s="15">
        <v>46</v>
      </c>
      <c r="C51" s="16">
        <v>44144</v>
      </c>
      <c r="D51" s="21">
        <f>SUM(weekly_all_cause_deaths_council_area[[#This Row],[Aberdeen City]:[West Lothian]])</f>
        <v>1338</v>
      </c>
      <c r="E51" s="25">
        <v>45</v>
      </c>
      <c r="F51" s="25">
        <v>38</v>
      </c>
      <c r="G51" s="25">
        <v>31</v>
      </c>
      <c r="H51" s="25">
        <v>15</v>
      </c>
      <c r="I51" s="25">
        <v>94</v>
      </c>
      <c r="J51" s="25">
        <v>8</v>
      </c>
      <c r="K51" s="25">
        <v>35</v>
      </c>
      <c r="L51" s="25">
        <v>40</v>
      </c>
      <c r="M51" s="25">
        <v>38</v>
      </c>
      <c r="N51" s="25">
        <v>43</v>
      </c>
      <c r="O51" s="25">
        <v>17</v>
      </c>
      <c r="P51" s="25">
        <v>28</v>
      </c>
      <c r="Q51" s="25">
        <v>44</v>
      </c>
      <c r="R51" s="25">
        <v>73</v>
      </c>
      <c r="S51" s="25">
        <v>186</v>
      </c>
      <c r="T51" s="25">
        <v>54</v>
      </c>
      <c r="U51" s="25">
        <v>13</v>
      </c>
      <c r="V51" s="25">
        <v>21</v>
      </c>
      <c r="W51" s="25">
        <v>12</v>
      </c>
      <c r="X51" s="25">
        <v>2</v>
      </c>
      <c r="Y51" s="25">
        <v>47</v>
      </c>
      <c r="Z51" s="25">
        <v>95</v>
      </c>
      <c r="AA51" s="25">
        <v>6</v>
      </c>
      <c r="AB51" s="25">
        <v>39</v>
      </c>
      <c r="AC51" s="25">
        <v>55</v>
      </c>
      <c r="AD51" s="25">
        <v>23</v>
      </c>
      <c r="AE51" s="25">
        <v>2</v>
      </c>
      <c r="AF51" s="25">
        <v>36</v>
      </c>
      <c r="AG51" s="25">
        <v>102</v>
      </c>
      <c r="AH51" s="25">
        <v>21</v>
      </c>
      <c r="AI51" s="25">
        <v>27</v>
      </c>
      <c r="AJ51" s="25">
        <v>48</v>
      </c>
    </row>
    <row r="52" spans="1:36" ht="16.149999999999999" customHeight="1" x14ac:dyDescent="0.35">
      <c r="A52" s="14" t="s">
        <v>85</v>
      </c>
      <c r="B52" s="15">
        <v>47</v>
      </c>
      <c r="C52" s="16">
        <v>44151</v>
      </c>
      <c r="D52" s="21">
        <f>SUM(weekly_all_cause_deaths_council_area[[#This Row],[Aberdeen City]:[West Lothian]])</f>
        <v>1360</v>
      </c>
      <c r="E52" s="25">
        <v>46</v>
      </c>
      <c r="F52" s="25">
        <v>49</v>
      </c>
      <c r="G52" s="25">
        <v>30</v>
      </c>
      <c r="H52" s="25">
        <v>29</v>
      </c>
      <c r="I52" s="25">
        <v>99</v>
      </c>
      <c r="J52" s="25">
        <v>13</v>
      </c>
      <c r="K52" s="25">
        <v>33</v>
      </c>
      <c r="L52" s="25">
        <v>40</v>
      </c>
      <c r="M52" s="25">
        <v>27</v>
      </c>
      <c r="N52" s="25">
        <v>32</v>
      </c>
      <c r="O52" s="25">
        <v>32</v>
      </c>
      <c r="P52" s="25">
        <v>28</v>
      </c>
      <c r="Q52" s="25">
        <v>39</v>
      </c>
      <c r="R52" s="25">
        <v>79</v>
      </c>
      <c r="S52" s="25">
        <v>166</v>
      </c>
      <c r="T52" s="25">
        <v>54</v>
      </c>
      <c r="U52" s="25">
        <v>20</v>
      </c>
      <c r="V52" s="25">
        <v>18</v>
      </c>
      <c r="W52" s="25">
        <v>18</v>
      </c>
      <c r="X52" s="25">
        <v>7</v>
      </c>
      <c r="Y52" s="25">
        <v>44</v>
      </c>
      <c r="Z52" s="25">
        <v>85</v>
      </c>
      <c r="AA52" s="25">
        <v>8</v>
      </c>
      <c r="AB52" s="25">
        <v>32</v>
      </c>
      <c r="AC52" s="25">
        <v>52</v>
      </c>
      <c r="AD52" s="25">
        <v>22</v>
      </c>
      <c r="AE52" s="25">
        <v>2</v>
      </c>
      <c r="AF52" s="25">
        <v>49</v>
      </c>
      <c r="AG52" s="25">
        <v>98</v>
      </c>
      <c r="AH52" s="25">
        <v>33</v>
      </c>
      <c r="AI52" s="25">
        <v>31</v>
      </c>
      <c r="AJ52" s="25">
        <v>45</v>
      </c>
    </row>
    <row r="53" spans="1:36" ht="16.149999999999999" customHeight="1" x14ac:dyDescent="0.35">
      <c r="A53" s="14" t="s">
        <v>85</v>
      </c>
      <c r="B53" s="15">
        <v>48</v>
      </c>
      <c r="C53" s="16">
        <v>44158</v>
      </c>
      <c r="D53" s="21">
        <f>SUM(weekly_all_cause_deaths_council_area[[#This Row],[Aberdeen City]:[West Lothian]])</f>
        <v>1329</v>
      </c>
      <c r="E53" s="25">
        <v>38</v>
      </c>
      <c r="F53" s="25">
        <v>40</v>
      </c>
      <c r="G53" s="25">
        <v>24</v>
      </c>
      <c r="H53" s="25">
        <v>13</v>
      </c>
      <c r="I53" s="25">
        <v>80</v>
      </c>
      <c r="J53" s="25">
        <v>4</v>
      </c>
      <c r="K53" s="25">
        <v>39</v>
      </c>
      <c r="L53" s="25">
        <v>37</v>
      </c>
      <c r="M53" s="25">
        <v>42</v>
      </c>
      <c r="N53" s="25">
        <v>27</v>
      </c>
      <c r="O53" s="25">
        <v>21</v>
      </c>
      <c r="P53" s="25">
        <v>23</v>
      </c>
      <c r="Q53" s="25">
        <v>42</v>
      </c>
      <c r="R53" s="25">
        <v>92</v>
      </c>
      <c r="S53" s="25">
        <v>161</v>
      </c>
      <c r="T53" s="25">
        <v>51</v>
      </c>
      <c r="U53" s="25">
        <v>15</v>
      </c>
      <c r="V53" s="25">
        <v>18</v>
      </c>
      <c r="W53" s="25">
        <v>13</v>
      </c>
      <c r="X53" s="25">
        <v>12</v>
      </c>
      <c r="Y53" s="25">
        <v>39</v>
      </c>
      <c r="Z53" s="25">
        <v>93</v>
      </c>
      <c r="AA53" s="25">
        <v>7</v>
      </c>
      <c r="AB53" s="25">
        <v>46</v>
      </c>
      <c r="AC53" s="25">
        <v>51</v>
      </c>
      <c r="AD53" s="25">
        <v>28</v>
      </c>
      <c r="AE53" s="25">
        <v>4</v>
      </c>
      <c r="AF53" s="25">
        <v>46</v>
      </c>
      <c r="AG53" s="25">
        <v>121</v>
      </c>
      <c r="AH53" s="25">
        <v>26</v>
      </c>
      <c r="AI53" s="25">
        <v>24</v>
      </c>
      <c r="AJ53" s="25">
        <v>52</v>
      </c>
    </row>
    <row r="54" spans="1:36" ht="16.149999999999999" customHeight="1" x14ac:dyDescent="0.35">
      <c r="A54" s="14" t="s">
        <v>85</v>
      </c>
      <c r="B54" s="15">
        <v>49</v>
      </c>
      <c r="C54" s="16">
        <v>44165</v>
      </c>
      <c r="D54" s="21">
        <f>SUM(weekly_all_cause_deaths_council_area[[#This Row],[Aberdeen City]:[West Lothian]])</f>
        <v>1296</v>
      </c>
      <c r="E54" s="25">
        <v>50</v>
      </c>
      <c r="F54" s="25">
        <v>44</v>
      </c>
      <c r="G54" s="25">
        <v>21</v>
      </c>
      <c r="H54" s="25">
        <v>23</v>
      </c>
      <c r="I54" s="25">
        <v>92</v>
      </c>
      <c r="J54" s="25">
        <v>17</v>
      </c>
      <c r="K54" s="25">
        <v>39</v>
      </c>
      <c r="L54" s="25">
        <v>38</v>
      </c>
      <c r="M54" s="25">
        <v>33</v>
      </c>
      <c r="N54" s="25">
        <v>22</v>
      </c>
      <c r="O54" s="25">
        <v>11</v>
      </c>
      <c r="P54" s="25">
        <v>29</v>
      </c>
      <c r="Q54" s="25">
        <v>28</v>
      </c>
      <c r="R54" s="25">
        <v>86</v>
      </c>
      <c r="S54" s="25">
        <v>146</v>
      </c>
      <c r="T54" s="25">
        <v>46</v>
      </c>
      <c r="U54" s="25">
        <v>21</v>
      </c>
      <c r="V54" s="25">
        <v>27</v>
      </c>
      <c r="W54" s="25">
        <v>18</v>
      </c>
      <c r="X54" s="25">
        <v>7</v>
      </c>
      <c r="Y54" s="25">
        <v>41</v>
      </c>
      <c r="Z54" s="25">
        <v>89</v>
      </c>
      <c r="AA54" s="25">
        <v>6</v>
      </c>
      <c r="AB54" s="25">
        <v>41</v>
      </c>
      <c r="AC54" s="25">
        <v>66</v>
      </c>
      <c r="AD54" s="25">
        <v>19</v>
      </c>
      <c r="AE54" s="25">
        <v>4</v>
      </c>
      <c r="AF54" s="25">
        <v>42</v>
      </c>
      <c r="AG54" s="25">
        <v>94</v>
      </c>
      <c r="AH54" s="25">
        <v>20</v>
      </c>
      <c r="AI54" s="25">
        <v>29</v>
      </c>
      <c r="AJ54" s="25">
        <v>47</v>
      </c>
    </row>
    <row r="55" spans="1:36" ht="16.149999999999999" customHeight="1" x14ac:dyDescent="0.35">
      <c r="A55" s="14" t="s">
        <v>85</v>
      </c>
      <c r="B55" s="15">
        <v>50</v>
      </c>
      <c r="C55" s="16">
        <v>44172</v>
      </c>
      <c r="D55" s="21">
        <f>SUM(weekly_all_cause_deaths_council_area[[#This Row],[Aberdeen City]:[West Lothian]])</f>
        <v>1284</v>
      </c>
      <c r="E55" s="25">
        <v>46</v>
      </c>
      <c r="F55" s="25">
        <v>60</v>
      </c>
      <c r="G55" s="25">
        <v>40</v>
      </c>
      <c r="H55" s="25">
        <v>21</v>
      </c>
      <c r="I55" s="25">
        <v>93</v>
      </c>
      <c r="J55" s="25">
        <v>10</v>
      </c>
      <c r="K55" s="25">
        <v>38</v>
      </c>
      <c r="L55" s="25">
        <v>28</v>
      </c>
      <c r="M55" s="25">
        <v>27</v>
      </c>
      <c r="N55" s="25">
        <v>19</v>
      </c>
      <c r="O55" s="25">
        <v>16</v>
      </c>
      <c r="P55" s="25">
        <v>13</v>
      </c>
      <c r="Q55" s="25">
        <v>31</v>
      </c>
      <c r="R55" s="25">
        <v>112</v>
      </c>
      <c r="S55" s="25">
        <v>138</v>
      </c>
      <c r="T55" s="25">
        <v>66</v>
      </c>
      <c r="U55" s="25">
        <v>22</v>
      </c>
      <c r="V55" s="25">
        <v>21</v>
      </c>
      <c r="W55" s="25">
        <v>14</v>
      </c>
      <c r="X55" s="25">
        <v>8</v>
      </c>
      <c r="Y55" s="25">
        <v>30</v>
      </c>
      <c r="Z55" s="25">
        <v>88</v>
      </c>
      <c r="AA55" s="25">
        <v>4</v>
      </c>
      <c r="AB55" s="25">
        <v>45</v>
      </c>
      <c r="AC55" s="25">
        <v>49</v>
      </c>
      <c r="AD55" s="25">
        <v>21</v>
      </c>
      <c r="AE55" s="25">
        <v>1</v>
      </c>
      <c r="AF55" s="25">
        <v>34</v>
      </c>
      <c r="AG55" s="25">
        <v>103</v>
      </c>
      <c r="AH55" s="25">
        <v>23</v>
      </c>
      <c r="AI55" s="25">
        <v>27</v>
      </c>
      <c r="AJ55" s="25">
        <v>36</v>
      </c>
    </row>
    <row r="56" spans="1:36" ht="16.149999999999999" customHeight="1" x14ac:dyDescent="0.35">
      <c r="A56" s="14" t="s">
        <v>85</v>
      </c>
      <c r="B56" s="15">
        <v>51</v>
      </c>
      <c r="C56" s="16">
        <v>44179</v>
      </c>
      <c r="D56" s="21">
        <f>SUM(weekly_all_cause_deaths_council_area[[#This Row],[Aberdeen City]:[West Lothian]])</f>
        <v>1297</v>
      </c>
      <c r="E56" s="25">
        <v>42</v>
      </c>
      <c r="F56" s="25">
        <v>56</v>
      </c>
      <c r="G56" s="25">
        <v>33</v>
      </c>
      <c r="H56" s="25">
        <v>28</v>
      </c>
      <c r="I56" s="25">
        <v>88</v>
      </c>
      <c r="J56" s="25">
        <v>10</v>
      </c>
      <c r="K56" s="25">
        <v>31</v>
      </c>
      <c r="L56" s="25">
        <v>34</v>
      </c>
      <c r="M56" s="25">
        <v>32</v>
      </c>
      <c r="N56" s="25">
        <v>22</v>
      </c>
      <c r="O56" s="25">
        <v>23</v>
      </c>
      <c r="P56" s="25">
        <v>23</v>
      </c>
      <c r="Q56" s="25">
        <v>33</v>
      </c>
      <c r="R56" s="25">
        <v>93</v>
      </c>
      <c r="S56" s="25">
        <v>141</v>
      </c>
      <c r="T56" s="25">
        <v>54</v>
      </c>
      <c r="U56" s="25">
        <v>27</v>
      </c>
      <c r="V56" s="25">
        <v>30</v>
      </c>
      <c r="W56" s="25">
        <v>17</v>
      </c>
      <c r="X56" s="25">
        <v>6</v>
      </c>
      <c r="Y56" s="25">
        <v>50</v>
      </c>
      <c r="Z56" s="25">
        <v>69</v>
      </c>
      <c r="AA56" s="25">
        <v>8</v>
      </c>
      <c r="AB56" s="25">
        <v>48</v>
      </c>
      <c r="AC56" s="25">
        <v>44</v>
      </c>
      <c r="AD56" s="25">
        <v>27</v>
      </c>
      <c r="AE56" s="25">
        <v>7</v>
      </c>
      <c r="AF56" s="25">
        <v>31</v>
      </c>
      <c r="AG56" s="25">
        <v>96</v>
      </c>
      <c r="AH56" s="25">
        <v>27</v>
      </c>
      <c r="AI56" s="25">
        <v>25</v>
      </c>
      <c r="AJ56" s="25">
        <v>42</v>
      </c>
    </row>
    <row r="57" spans="1:36" ht="16.149999999999999" customHeight="1" x14ac:dyDescent="0.35">
      <c r="A57" s="14" t="s">
        <v>85</v>
      </c>
      <c r="B57" s="15">
        <v>52</v>
      </c>
      <c r="C57" s="16">
        <v>44186</v>
      </c>
      <c r="D57" s="21">
        <f>SUM(weekly_all_cause_deaths_council_area[[#This Row],[Aberdeen City]:[West Lothian]])</f>
        <v>1205</v>
      </c>
      <c r="E57" s="25">
        <v>40</v>
      </c>
      <c r="F57" s="25">
        <v>59</v>
      </c>
      <c r="G57" s="25">
        <v>30</v>
      </c>
      <c r="H57" s="25">
        <v>19</v>
      </c>
      <c r="I57" s="25">
        <v>78</v>
      </c>
      <c r="J57" s="25">
        <v>20</v>
      </c>
      <c r="K57" s="25">
        <v>45</v>
      </c>
      <c r="L57" s="25">
        <v>27</v>
      </c>
      <c r="M57" s="25">
        <v>42</v>
      </c>
      <c r="N57" s="25">
        <v>28</v>
      </c>
      <c r="O57" s="25">
        <v>21</v>
      </c>
      <c r="P57" s="25">
        <v>14</v>
      </c>
      <c r="Q57" s="25">
        <v>30</v>
      </c>
      <c r="R57" s="25">
        <v>85</v>
      </c>
      <c r="S57" s="25">
        <v>124</v>
      </c>
      <c r="T57" s="25">
        <v>46</v>
      </c>
      <c r="U57" s="25">
        <v>16</v>
      </c>
      <c r="V57" s="25">
        <v>23</v>
      </c>
      <c r="W57" s="25">
        <v>19</v>
      </c>
      <c r="X57" s="25">
        <v>7</v>
      </c>
      <c r="Y57" s="25">
        <v>37</v>
      </c>
      <c r="Z57" s="25">
        <v>91</v>
      </c>
      <c r="AA57" s="25">
        <v>8</v>
      </c>
      <c r="AB57" s="25">
        <v>35</v>
      </c>
      <c r="AC57" s="25">
        <v>49</v>
      </c>
      <c r="AD57" s="25">
        <v>24</v>
      </c>
      <c r="AE57" s="25">
        <v>4</v>
      </c>
      <c r="AF57" s="25">
        <v>31</v>
      </c>
      <c r="AG57" s="25">
        <v>65</v>
      </c>
      <c r="AH57" s="25">
        <v>25</v>
      </c>
      <c r="AI57" s="25">
        <v>31</v>
      </c>
      <c r="AJ57" s="25">
        <v>32</v>
      </c>
    </row>
    <row r="58" spans="1:36" ht="16.149999999999999" customHeight="1" x14ac:dyDescent="0.35">
      <c r="A58" s="11" t="s">
        <v>85</v>
      </c>
      <c r="B58" s="15">
        <v>53</v>
      </c>
      <c r="C58" s="16">
        <v>44193</v>
      </c>
      <c r="D58" s="21">
        <f>SUM(weekly_all_cause_deaths_council_area[[#This Row],[Aberdeen City]:[West Lothian]])</f>
        <v>1178</v>
      </c>
      <c r="E58" s="25">
        <v>61</v>
      </c>
      <c r="F58" s="25">
        <v>67</v>
      </c>
      <c r="G58" s="25">
        <v>27</v>
      </c>
      <c r="H58" s="25">
        <v>20</v>
      </c>
      <c r="I58" s="25">
        <v>101</v>
      </c>
      <c r="J58" s="25">
        <v>14</v>
      </c>
      <c r="K58" s="25">
        <v>51</v>
      </c>
      <c r="L58" s="25">
        <v>33</v>
      </c>
      <c r="M58" s="25">
        <v>37</v>
      </c>
      <c r="N58" s="25">
        <v>24</v>
      </c>
      <c r="O58" s="25">
        <v>18</v>
      </c>
      <c r="P58" s="25">
        <v>18</v>
      </c>
      <c r="Q58" s="25">
        <v>30</v>
      </c>
      <c r="R58" s="25">
        <v>79</v>
      </c>
      <c r="S58" s="25">
        <v>117</v>
      </c>
      <c r="T58" s="25">
        <v>42</v>
      </c>
      <c r="U58" s="25">
        <v>19</v>
      </c>
      <c r="V58" s="25">
        <v>14</v>
      </c>
      <c r="W58" s="25">
        <v>13</v>
      </c>
      <c r="X58" s="25">
        <v>5</v>
      </c>
      <c r="Y58" s="25">
        <v>46</v>
      </c>
      <c r="Z58" s="25">
        <v>56</v>
      </c>
      <c r="AA58" s="25">
        <v>5</v>
      </c>
      <c r="AB58" s="25">
        <v>32</v>
      </c>
      <c r="AC58" s="25">
        <v>28</v>
      </c>
      <c r="AD58" s="25">
        <v>30</v>
      </c>
      <c r="AE58" s="25">
        <v>3</v>
      </c>
      <c r="AF58" s="25">
        <v>35</v>
      </c>
      <c r="AG58" s="25">
        <v>70</v>
      </c>
      <c r="AH58" s="25">
        <v>14</v>
      </c>
      <c r="AI58" s="25">
        <v>23</v>
      </c>
      <c r="AJ58" s="25">
        <v>46</v>
      </c>
    </row>
    <row r="59" spans="1:36" s="6" customFormat="1" x14ac:dyDescent="0.35">
      <c r="A59" s="72" t="s">
        <v>179</v>
      </c>
      <c r="B59" s="72" t="s">
        <v>179</v>
      </c>
      <c r="C59" s="72" t="s">
        <v>179</v>
      </c>
      <c r="D59" s="74">
        <f>SUBTOTAL(109,weekly_all_cause_deaths_council_area[Scotland])</f>
        <v>64823</v>
      </c>
      <c r="E59" s="71">
        <f>SUBTOTAL(109,weekly_all_cause_deaths_council_area[Aberdeen City])</f>
        <v>2248</v>
      </c>
      <c r="F59" s="73">
        <f>SUBTOTAL(109,weekly_all_cause_deaths_council_area[Aberdeen City])</f>
        <v>2248</v>
      </c>
      <c r="G59" s="71">
        <f>SUBTOTAL(109,weekly_all_cause_deaths_council_area[Aberdeenshire])</f>
        <v>2680</v>
      </c>
      <c r="H59" s="73">
        <f>SUBTOTAL(109,weekly_all_cause_deaths_council_area[Aberdeenshire])</f>
        <v>2680</v>
      </c>
      <c r="I59" s="71">
        <f>SUBTOTAL(109,weekly_all_cause_deaths_council_area[Angus])</f>
        <v>1484</v>
      </c>
      <c r="J59" s="73">
        <f>SUBTOTAL(109,weekly_all_cause_deaths_council_area[Angus])</f>
        <v>1484</v>
      </c>
      <c r="K59" s="71">
        <f>SUBTOTAL(109,weekly_all_cause_deaths_council_area[Argyll and Bute])</f>
        <v>1191</v>
      </c>
      <c r="L59" s="73">
        <f>SUBTOTAL(109,weekly_all_cause_deaths_council_area[Argyll and Bute])</f>
        <v>1191</v>
      </c>
      <c r="M59" s="71">
        <f>SUBTOTAL(109,weekly_all_cause_deaths_council_area[City of Edinburgh])</f>
        <v>4849</v>
      </c>
      <c r="N59" s="73">
        <f>SUBTOTAL(109,weekly_all_cause_deaths_council_area[City of Edinburgh])</f>
        <v>4849</v>
      </c>
      <c r="O59" s="71">
        <f>SUBTOTAL(109,weekly_all_cause_deaths_council_area[Clackmannanshire])</f>
        <v>638</v>
      </c>
      <c r="P59" s="73">
        <f>SUBTOTAL(109,weekly_all_cause_deaths_council_area[Clackmannanshire])</f>
        <v>638</v>
      </c>
      <c r="Q59" s="71">
        <f>SUBTOTAL(109,weekly_all_cause_deaths_council_area[Dumfries and Galloway])</f>
        <v>2098</v>
      </c>
      <c r="R59" s="73">
        <f>SUBTOTAL(109,weekly_all_cause_deaths_council_area[Dumfries and Galloway])</f>
        <v>2098</v>
      </c>
      <c r="S59" s="71">
        <f>SUBTOTAL(109,weekly_all_cause_deaths_council_area[Dundee City])</f>
        <v>1933</v>
      </c>
      <c r="T59" s="73">
        <f>SUBTOTAL(109,weekly_all_cause_deaths_council_area[Dundee City])</f>
        <v>1933</v>
      </c>
      <c r="U59" s="71">
        <f>SUBTOTAL(109,weekly_all_cause_deaths_council_area[East Ayrshire])</f>
        <v>1602</v>
      </c>
      <c r="V59" s="73">
        <f>SUBTOTAL(109,weekly_all_cause_deaths_council_area[East Ayrshire])</f>
        <v>1602</v>
      </c>
      <c r="W59" s="71">
        <f>SUBTOTAL(109,weekly_all_cause_deaths_council_area[East Dunbartonshire])</f>
        <v>1338</v>
      </c>
      <c r="X59" s="73">
        <f>SUBTOTAL(109,weekly_all_cause_deaths_council_area[East Dunbartonshire])</f>
        <v>1338</v>
      </c>
      <c r="Y59" s="71">
        <f>SUBTOTAL(109,weekly_all_cause_deaths_council_area[East Lothian])</f>
        <v>1145</v>
      </c>
      <c r="Z59" s="73">
        <f>SUBTOTAL(109,weekly_all_cause_deaths_council_area[East Lothian])</f>
        <v>1145</v>
      </c>
      <c r="AA59" s="71">
        <f>SUBTOTAL(109,weekly_all_cause_deaths_council_area[East Renfrewshire])</f>
        <v>1045</v>
      </c>
      <c r="AB59" s="73">
        <f>SUBTOTAL(109,weekly_all_cause_deaths_council_area[East Renfrewshire])</f>
        <v>1045</v>
      </c>
      <c r="AC59" s="71">
        <f>SUBTOTAL(109,weekly_all_cause_deaths_council_area[Falkirk])</f>
        <v>1983</v>
      </c>
      <c r="AD59" s="73">
        <f>SUBTOTAL(109,weekly_all_cause_deaths_council_area[Falkirk])</f>
        <v>1983</v>
      </c>
      <c r="AE59" s="71">
        <f>SUBTOTAL(109,weekly_all_cause_deaths_council_area[Fife])</f>
        <v>4335</v>
      </c>
      <c r="AF59" s="73">
        <f>SUBTOTAL(109,weekly_all_cause_deaths_council_area[Fife])</f>
        <v>4335</v>
      </c>
      <c r="AG59" s="71">
        <f>SUBTOTAL(109,weekly_all_cause_deaths_council_area[Glasgow City])</f>
        <v>7370</v>
      </c>
      <c r="AH59" s="73">
        <f>SUBTOTAL(109,weekly_all_cause_deaths_council_area[Glasgow City])</f>
        <v>7370</v>
      </c>
      <c r="AI59" s="71">
        <f>SUBTOTAL(109,weekly_all_cause_deaths_council_area[Highland])</f>
        <v>2715</v>
      </c>
      <c r="AJ59" s="73">
        <f>SUBTOTAL(109,weekly_all_cause_deaths_council_area[Highland])</f>
        <v>2715</v>
      </c>
    </row>
  </sheetData>
  <hyperlinks>
    <hyperlink ref="A4" location="Contents!A1" display="Back to table of contents" xr:uid="{00000000-0004-0000-0800-000000000000}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A36056568</value>
    </field>
    <field name="Objective-Title">
      <value order="0">NRS - Weekly COVID19 deaths - final 2020 data</value>
    </field>
    <field name="Objective-Description">
      <value order="0"/>
    </field>
    <field name="Objective-CreationStamp">
      <value order="0">2022-01-11T13:27:34Z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2022-01-11T15:09:49Z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vA53188242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Notes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u448623</dc:creator>
  <cp:lastModifiedBy>Ruby Adam</cp:lastModifiedBy>
  <dcterms:created xsi:type="dcterms:W3CDTF">2021-08-26T18:48:30Z</dcterms:created>
  <dcterms:modified xsi:type="dcterms:W3CDTF">2023-08-02T14:44:37Z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A36056568</vt:lpwstr>
  </property>
  <property fmtid="{D5CDD505-2E9C-101B-9397-08002B2CF9AE}" pid="4" name="Objective-Title">
    <vt:lpwstr>NRS - Weekly COVID19 deaths - final 2020 data</vt:lpwstr>
  </property>
  <property fmtid="{D5CDD505-2E9C-101B-9397-08002B2CF9AE}" pid="5" name="Objective-Description">
    <vt:lpwstr/>
  </property>
  <property fmtid="{D5CDD505-2E9C-101B-9397-08002B2CF9AE}" pid="6" name="Objective-CreationStamp">
    <vt:filetime>2022-01-11T13:29:15Z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2022-01-11T15:09:49Z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vA53188242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